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82" documentId="8_{7624DD00-41C5-4DD0-94DB-FBE1D25C907C}" xr6:coauthVersionLast="47" xr6:coauthVersionMax="47" xr10:uidLastSave="{E1E8CE6F-B3D3-4DA1-9798-4CA10F97A675}"/>
  <bookViews>
    <workbookView xWindow="19200" yWindow="0" windowWidth="19200" windowHeight="21000" xr2:uid="{AD7E143F-56E1-418B-9250-920E218D81A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" l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X4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X2" i="1"/>
  <c r="X3" i="1"/>
  <c r="K2" i="1" l="1"/>
  <c r="J2" i="1"/>
  <c r="M2" i="1" s="1"/>
  <c r="K3" i="1" l="1"/>
  <c r="N2" i="1"/>
  <c r="J3" i="1"/>
  <c r="O2" i="1" l="1"/>
  <c r="J4" i="1"/>
  <c r="M3" i="1"/>
  <c r="K4" i="1"/>
  <c r="N3" i="1"/>
  <c r="O3" i="1" l="1"/>
  <c r="Q2" i="1"/>
  <c r="T2" i="1" s="1"/>
  <c r="K5" i="1"/>
  <c r="N4" i="1"/>
  <c r="J5" i="1"/>
  <c r="M4" i="1"/>
  <c r="O4" i="1" l="1"/>
  <c r="R2" i="1"/>
  <c r="Q3" i="1"/>
  <c r="S3" i="1" s="1"/>
  <c r="S2" i="1"/>
  <c r="J6" i="1"/>
  <c r="M5" i="1"/>
  <c r="K6" i="1"/>
  <c r="N5" i="1"/>
  <c r="O5" i="1" l="1"/>
  <c r="R3" i="1"/>
  <c r="Q4" i="1"/>
  <c r="T4" i="1" s="1"/>
  <c r="T3" i="1"/>
  <c r="K7" i="1"/>
  <c r="N6" i="1"/>
  <c r="J7" i="1"/>
  <c r="M6" i="1"/>
  <c r="O6" i="1" l="1"/>
  <c r="R4" i="1"/>
  <c r="S4" i="1"/>
  <c r="J8" i="1"/>
  <c r="M7" i="1"/>
  <c r="K8" i="1"/>
  <c r="N7" i="1"/>
  <c r="O7" i="1" l="1"/>
  <c r="K9" i="1"/>
  <c r="N8" i="1"/>
  <c r="J9" i="1"/>
  <c r="M8" i="1"/>
  <c r="O8" i="1" s="1"/>
  <c r="J10" i="1" l="1"/>
  <c r="M9" i="1"/>
  <c r="K10" i="1"/>
  <c r="N9" i="1"/>
  <c r="O9" i="1" l="1"/>
  <c r="K11" i="1"/>
  <c r="N10" i="1"/>
  <c r="J11" i="1"/>
  <c r="M10" i="1"/>
  <c r="O10" i="1" l="1"/>
  <c r="Q9" i="1"/>
  <c r="T9" i="1" s="1"/>
  <c r="J12" i="1"/>
  <c r="M11" i="1"/>
  <c r="K12" i="1"/>
  <c r="N11" i="1"/>
  <c r="O11" i="1" l="1"/>
  <c r="S9" i="1"/>
  <c r="R9" i="1"/>
  <c r="Q10" i="1"/>
  <c r="R10" i="1" s="1"/>
  <c r="K13" i="1"/>
  <c r="N12" i="1"/>
  <c r="J13" i="1"/>
  <c r="M12" i="1"/>
  <c r="O12" i="1" s="1"/>
  <c r="S10" i="1" l="1"/>
  <c r="T10" i="1"/>
  <c r="Q11" i="1"/>
  <c r="T11" i="1" s="1"/>
  <c r="J14" i="1"/>
  <c r="M13" i="1"/>
  <c r="K14" i="1"/>
  <c r="N13" i="1"/>
  <c r="O13" i="1" l="1"/>
  <c r="S11" i="1"/>
  <c r="R11" i="1"/>
  <c r="Q12" i="1"/>
  <c r="R12" i="1" s="1"/>
  <c r="K15" i="1"/>
  <c r="N14" i="1"/>
  <c r="J15" i="1"/>
  <c r="M14" i="1"/>
  <c r="O14" i="1" l="1"/>
  <c r="S12" i="1"/>
  <c r="T12" i="1"/>
  <c r="Q13" i="1"/>
  <c r="S13" i="1" s="1"/>
  <c r="J16" i="1"/>
  <c r="M15" i="1"/>
  <c r="K16" i="1"/>
  <c r="N15" i="1"/>
  <c r="O15" i="1" l="1"/>
  <c r="R13" i="1"/>
  <c r="T13" i="1"/>
  <c r="Q14" i="1"/>
  <c r="S14" i="1" s="1"/>
  <c r="K17" i="1"/>
  <c r="N16" i="1"/>
  <c r="J17" i="1"/>
  <c r="M16" i="1"/>
  <c r="O16" i="1" l="1"/>
  <c r="T14" i="1"/>
  <c r="R14" i="1"/>
  <c r="Q15" i="1"/>
  <c r="S15" i="1" s="1"/>
  <c r="J18" i="1"/>
  <c r="M17" i="1"/>
  <c r="K18" i="1"/>
  <c r="N17" i="1"/>
  <c r="O17" i="1" l="1"/>
  <c r="T15" i="1"/>
  <c r="R15" i="1"/>
  <c r="Q16" i="1"/>
  <c r="S16" i="1" s="1"/>
  <c r="K19" i="1"/>
  <c r="N18" i="1"/>
  <c r="J19" i="1"/>
  <c r="M18" i="1"/>
  <c r="O18" i="1" l="1"/>
  <c r="Q17" i="1"/>
  <c r="S17" i="1" s="1"/>
  <c r="T16" i="1"/>
  <c r="R16" i="1"/>
  <c r="J20" i="1"/>
  <c r="M19" i="1"/>
  <c r="K20" i="1"/>
  <c r="N19" i="1"/>
  <c r="O19" i="1" l="1"/>
  <c r="T17" i="1"/>
  <c r="R17" i="1"/>
  <c r="Q18" i="1"/>
  <c r="S18" i="1" s="1"/>
  <c r="K21" i="1"/>
  <c r="N20" i="1"/>
  <c r="J21" i="1"/>
  <c r="M20" i="1"/>
  <c r="O20" i="1" l="1"/>
  <c r="T18" i="1"/>
  <c r="R18" i="1"/>
  <c r="Q19" i="1"/>
  <c r="S19" i="1" s="1"/>
  <c r="J22" i="1"/>
  <c r="M21" i="1"/>
  <c r="K22" i="1"/>
  <c r="N21" i="1"/>
  <c r="O21" i="1" l="1"/>
  <c r="T19" i="1"/>
  <c r="R19" i="1"/>
  <c r="Q20" i="1"/>
  <c r="S20" i="1" s="1"/>
  <c r="K23" i="1"/>
  <c r="N22" i="1"/>
  <c r="J23" i="1"/>
  <c r="M22" i="1"/>
  <c r="O22" i="1" l="1"/>
  <c r="T20" i="1"/>
  <c r="R20" i="1"/>
  <c r="Q21" i="1"/>
  <c r="T21" i="1" s="1"/>
  <c r="J24" i="1"/>
  <c r="M23" i="1"/>
  <c r="K24" i="1"/>
  <c r="N23" i="1"/>
  <c r="O23" i="1" l="1"/>
  <c r="R21" i="1"/>
  <c r="S21" i="1"/>
  <c r="Q22" i="1"/>
  <c r="S22" i="1" s="1"/>
  <c r="K25" i="1"/>
  <c r="N24" i="1"/>
  <c r="J25" i="1"/>
  <c r="M24" i="1"/>
  <c r="O24" i="1" l="1"/>
  <c r="R22" i="1"/>
  <c r="T22" i="1"/>
  <c r="Q23" i="1"/>
  <c r="S23" i="1" s="1"/>
  <c r="J26" i="1"/>
  <c r="M25" i="1"/>
  <c r="K26" i="1"/>
  <c r="N25" i="1"/>
  <c r="O25" i="1" l="1"/>
  <c r="R23" i="1"/>
  <c r="T23" i="1"/>
  <c r="Q24" i="1"/>
  <c r="S24" i="1" s="1"/>
  <c r="K27" i="1"/>
  <c r="N26" i="1"/>
  <c r="J27" i="1"/>
  <c r="M26" i="1"/>
  <c r="O26" i="1" l="1"/>
  <c r="R24" i="1"/>
  <c r="T24" i="1"/>
  <c r="Q25" i="1"/>
  <c r="T25" i="1" s="1"/>
  <c r="J28" i="1"/>
  <c r="M27" i="1"/>
  <c r="K28" i="1"/>
  <c r="N27" i="1"/>
  <c r="O27" i="1" l="1"/>
  <c r="R25" i="1"/>
  <c r="S25" i="1"/>
  <c r="Q26" i="1"/>
  <c r="T26" i="1" s="1"/>
  <c r="K29" i="1"/>
  <c r="N28" i="1"/>
  <c r="J29" i="1"/>
  <c r="M28" i="1"/>
  <c r="O28" i="1" s="1"/>
  <c r="R26" i="1" l="1"/>
  <c r="S26" i="1"/>
  <c r="Q27" i="1"/>
  <c r="T27" i="1" s="1"/>
  <c r="J30" i="1"/>
  <c r="M29" i="1"/>
  <c r="K30" i="1"/>
  <c r="N29" i="1"/>
  <c r="O29" i="1" l="1"/>
  <c r="R27" i="1"/>
  <c r="S27" i="1"/>
  <c r="Q28" i="1"/>
  <c r="T28" i="1" s="1"/>
  <c r="K31" i="1"/>
  <c r="N30" i="1"/>
  <c r="J31" i="1"/>
  <c r="M30" i="1"/>
  <c r="O30" i="1" l="1"/>
  <c r="S28" i="1"/>
  <c r="R28" i="1"/>
  <c r="Q29" i="1"/>
  <c r="R29" i="1" s="1"/>
  <c r="J32" i="1"/>
  <c r="M31" i="1"/>
  <c r="K32" i="1"/>
  <c r="N31" i="1"/>
  <c r="O31" i="1" l="1"/>
  <c r="S29" i="1"/>
  <c r="T29" i="1"/>
  <c r="Q30" i="1"/>
  <c r="R30" i="1" s="1"/>
  <c r="K33" i="1"/>
  <c r="N32" i="1"/>
  <c r="J33" i="1"/>
  <c r="M32" i="1"/>
  <c r="O32" i="1" s="1"/>
  <c r="S30" i="1" l="1"/>
  <c r="T30" i="1"/>
  <c r="Q31" i="1"/>
  <c r="R31" i="1" s="1"/>
  <c r="J34" i="1"/>
  <c r="M33" i="1"/>
  <c r="K34" i="1"/>
  <c r="N33" i="1"/>
  <c r="O33" i="1" l="1"/>
  <c r="S31" i="1"/>
  <c r="T31" i="1"/>
  <c r="Q32" i="1"/>
  <c r="R32" i="1" s="1"/>
  <c r="K35" i="1"/>
  <c r="N34" i="1"/>
  <c r="J35" i="1"/>
  <c r="M34" i="1"/>
  <c r="O34" i="1" l="1"/>
  <c r="S32" i="1"/>
  <c r="T32" i="1"/>
  <c r="Q33" i="1"/>
  <c r="R33" i="1" s="1"/>
  <c r="J36" i="1"/>
  <c r="M35" i="1"/>
  <c r="K36" i="1"/>
  <c r="N35" i="1"/>
  <c r="O35" i="1" l="1"/>
  <c r="S33" i="1"/>
  <c r="T33" i="1"/>
  <c r="Q34" i="1"/>
  <c r="R34" i="1" s="1"/>
  <c r="K37" i="1"/>
  <c r="N36" i="1"/>
  <c r="J37" i="1"/>
  <c r="M36" i="1"/>
  <c r="O36" i="1" s="1"/>
  <c r="S34" i="1" l="1"/>
  <c r="T34" i="1"/>
  <c r="Q35" i="1"/>
  <c r="R35" i="1" s="1"/>
  <c r="J38" i="1"/>
  <c r="M37" i="1"/>
  <c r="K38" i="1"/>
  <c r="N37" i="1"/>
  <c r="O37" i="1" l="1"/>
  <c r="S35" i="1"/>
  <c r="T35" i="1"/>
  <c r="Q36" i="1"/>
  <c r="R36" i="1" s="1"/>
  <c r="K39" i="1"/>
  <c r="N38" i="1"/>
  <c r="J39" i="1"/>
  <c r="M38" i="1"/>
  <c r="O38" i="1" s="1"/>
  <c r="S36" i="1" l="1"/>
  <c r="T36" i="1"/>
  <c r="Q37" i="1"/>
  <c r="S37" i="1" s="1"/>
  <c r="J40" i="1"/>
  <c r="M39" i="1"/>
  <c r="K40" i="1"/>
  <c r="N39" i="1"/>
  <c r="O39" i="1" l="1"/>
  <c r="T37" i="1"/>
  <c r="R37" i="1"/>
  <c r="Q38" i="1"/>
  <c r="S38" i="1" s="1"/>
  <c r="K41" i="1"/>
  <c r="N40" i="1"/>
  <c r="J41" i="1"/>
  <c r="M40" i="1"/>
  <c r="O40" i="1" l="1"/>
  <c r="T38" i="1"/>
  <c r="R38" i="1"/>
  <c r="Q39" i="1"/>
  <c r="S39" i="1" s="1"/>
  <c r="J42" i="1"/>
  <c r="M41" i="1"/>
  <c r="K42" i="1"/>
  <c r="N41" i="1"/>
  <c r="O41" i="1" l="1"/>
  <c r="T39" i="1"/>
  <c r="R39" i="1"/>
  <c r="Q40" i="1"/>
  <c r="S40" i="1" s="1"/>
  <c r="K43" i="1"/>
  <c r="N42" i="1"/>
  <c r="J43" i="1"/>
  <c r="M42" i="1"/>
  <c r="O42" i="1" s="1"/>
  <c r="T40" i="1" l="1"/>
  <c r="R40" i="1"/>
  <c r="Q41" i="1"/>
  <c r="S41" i="1" s="1"/>
  <c r="J44" i="1"/>
  <c r="M43" i="1"/>
  <c r="K44" i="1"/>
  <c r="N43" i="1"/>
  <c r="O43" i="1" l="1"/>
  <c r="T41" i="1"/>
  <c r="R41" i="1"/>
  <c r="Q42" i="1"/>
  <c r="R42" i="1" s="1"/>
  <c r="K45" i="1"/>
  <c r="N44" i="1"/>
  <c r="J45" i="1"/>
  <c r="M44" i="1"/>
  <c r="O44" i="1" s="1"/>
  <c r="T42" i="1" l="1"/>
  <c r="S42" i="1"/>
  <c r="Q43" i="1"/>
  <c r="S43" i="1" s="1"/>
  <c r="J46" i="1"/>
  <c r="M45" i="1"/>
  <c r="K46" i="1"/>
  <c r="N45" i="1"/>
  <c r="O45" i="1" l="1"/>
  <c r="T43" i="1"/>
  <c r="R43" i="1"/>
  <c r="Q44" i="1"/>
  <c r="S44" i="1" s="1"/>
  <c r="K47" i="1"/>
  <c r="N46" i="1"/>
  <c r="J47" i="1"/>
  <c r="M46" i="1"/>
  <c r="O46" i="1" s="1"/>
  <c r="T44" i="1" l="1"/>
  <c r="R44" i="1"/>
  <c r="Q45" i="1"/>
  <c r="T45" i="1" s="1"/>
  <c r="J48" i="1"/>
  <c r="M47" i="1"/>
  <c r="K48" i="1"/>
  <c r="N47" i="1"/>
  <c r="O47" i="1" l="1"/>
  <c r="R45" i="1"/>
  <c r="S45" i="1"/>
  <c r="Q46" i="1"/>
  <c r="T46" i="1" s="1"/>
  <c r="K49" i="1"/>
  <c r="N48" i="1"/>
  <c r="J49" i="1"/>
  <c r="M48" i="1"/>
  <c r="O48" i="1" l="1"/>
  <c r="R46" i="1"/>
  <c r="S46" i="1"/>
  <c r="Q47" i="1"/>
  <c r="T47" i="1" s="1"/>
  <c r="J50" i="1"/>
  <c r="M49" i="1"/>
  <c r="K50" i="1"/>
  <c r="N49" i="1"/>
  <c r="O49" i="1" l="1"/>
  <c r="R47" i="1"/>
  <c r="S47" i="1"/>
  <c r="Q48" i="1"/>
  <c r="S48" i="1" s="1"/>
  <c r="K51" i="1"/>
  <c r="N50" i="1"/>
  <c r="J51" i="1"/>
  <c r="M50" i="1"/>
  <c r="O50" i="1" l="1"/>
  <c r="R48" i="1"/>
  <c r="T48" i="1"/>
  <c r="Q49" i="1"/>
  <c r="T49" i="1" s="1"/>
  <c r="J52" i="1"/>
  <c r="M51" i="1"/>
  <c r="K52" i="1"/>
  <c r="N51" i="1"/>
  <c r="O51" i="1" l="1"/>
  <c r="R49" i="1"/>
  <c r="S49" i="1"/>
  <c r="Q50" i="1"/>
  <c r="T50" i="1" s="1"/>
  <c r="K53" i="1"/>
  <c r="N52" i="1"/>
  <c r="J53" i="1"/>
  <c r="M52" i="1"/>
  <c r="O52" i="1" l="1"/>
  <c r="R50" i="1"/>
  <c r="S50" i="1"/>
  <c r="Q51" i="1"/>
  <c r="T51" i="1" s="1"/>
  <c r="J54" i="1"/>
  <c r="M53" i="1"/>
  <c r="K54" i="1"/>
  <c r="N53" i="1"/>
  <c r="O53" i="1" l="1"/>
  <c r="R51" i="1"/>
  <c r="S51" i="1"/>
  <c r="Q52" i="1"/>
  <c r="T52" i="1" s="1"/>
  <c r="K55" i="1"/>
  <c r="N54" i="1"/>
  <c r="J55" i="1"/>
  <c r="M54" i="1"/>
  <c r="O54" i="1" s="1"/>
  <c r="R52" i="1" l="1"/>
  <c r="S52" i="1"/>
  <c r="Q53" i="1"/>
  <c r="R53" i="1" s="1"/>
  <c r="J56" i="1"/>
  <c r="M55" i="1"/>
  <c r="K56" i="1"/>
  <c r="N55" i="1"/>
  <c r="O55" i="1" l="1"/>
  <c r="S53" i="1"/>
  <c r="T53" i="1"/>
  <c r="Q54" i="1"/>
  <c r="R54" i="1" s="1"/>
  <c r="K57" i="1"/>
  <c r="N57" i="1" s="1"/>
  <c r="X8" i="1" s="1"/>
  <c r="N56" i="1"/>
  <c r="J57" i="1"/>
  <c r="M57" i="1" s="1"/>
  <c r="M56" i="1"/>
  <c r="O57" i="1" l="1"/>
  <c r="X7" i="1"/>
  <c r="O56" i="1"/>
  <c r="S54" i="1"/>
  <c r="T54" i="1"/>
  <c r="Q55" i="1"/>
  <c r="R55" i="1" s="1"/>
  <c r="X9" i="1" l="1"/>
  <c r="S55" i="1"/>
  <c r="T55" i="1"/>
  <c r="Q56" i="1"/>
  <c r="R56" i="1" s="1"/>
  <c r="Q57" i="1"/>
  <c r="R57" i="1" s="1"/>
  <c r="S57" i="1" l="1"/>
  <c r="T57" i="1"/>
  <c r="S56" i="1"/>
  <c r="T56" i="1"/>
  <c r="Q6" i="1"/>
  <c r="S6" i="1" s="1"/>
  <c r="Q7" i="1"/>
  <c r="R7" i="1" s="1"/>
  <c r="Q8" i="1"/>
  <c r="R8" i="1" s="1"/>
  <c r="Q5" i="1"/>
  <c r="R5" i="1" s="1"/>
  <c r="T5" i="1" l="1"/>
  <c r="S5" i="1"/>
  <c r="T6" i="1"/>
  <c r="S7" i="1"/>
  <c r="S8" i="1"/>
  <c r="R6" i="1"/>
  <c r="W7" i="1" s="1"/>
  <c r="T7" i="1"/>
  <c r="T8" i="1"/>
  <c r="W8" i="1" l="1"/>
  <c r="W9" i="1"/>
  <c r="W10" i="1" l="1"/>
</calcChain>
</file>

<file path=xl/sharedStrings.xml><?xml version="1.0" encoding="utf-8"?>
<sst xmlns="http://schemas.openxmlformats.org/spreadsheetml/2006/main" count="90" uniqueCount="88">
  <si>
    <t>Democratic</t>
  </si>
  <si>
    <t>Republican</t>
  </si>
  <si>
    <t>Libertarian</t>
  </si>
  <si>
    <t>Green</t>
  </si>
  <si>
    <t>Others</t>
  </si>
  <si>
    <t>Total</t>
  </si>
  <si>
    <t>EV</t>
  </si>
  <si>
    <t>Alab.</t>
  </si>
  <si>
    <t>Alaska</t>
  </si>
  <si>
    <t>Arizona</t>
  </si>
  <si>
    <t>Ark.</t>
  </si>
  <si>
    <t>Calif.</t>
  </si>
  <si>
    <t>Colo.</t>
  </si>
  <si>
    <t>Conn.</t>
  </si>
  <si>
    <t>Del.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</si>
  <si>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</si>
  <si>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</si>
  <si>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</si>
  <si>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</si>
  <si>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</si>
  <si>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</si>
  <si>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</si>
  <si>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</si>
  <si>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</si>
  <si>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Ky.</t>
  </si>
  <si>
    <t>La.</t>
  </si>
  <si>
    <t>Maine †</t>
  </si>
  <si>
    <t>ME-1Tooltip Maine's 1st congressional district</t>
  </si>
  <si>
    <t>ME-2Tooltip Maine's 2nd congressional district</t>
  </si>
  <si>
    <t>Md.</t>
  </si>
  <si>
    <t>Mass.</t>
  </si>
  <si>
    <t>Mich.</t>
  </si>
  <si>
    <t>Minn.</t>
  </si>
  <si>
    <t>Miss.</t>
  </si>
  <si>
    <t>Mo.</t>
  </si>
  <si>
    <t>Mont.</t>
  </si>
  <si>
    <t>Neb. †</t>
  </si>
  <si>
    <t>NE-1Tooltip Nebraska's 1st congressional district</t>
  </si>
  <si>
    <t>NE-2Tooltip Nebraska's 2nd congressional district</t>
  </si>
  <si>
    <t>NE-3Tooltip Nebraska's 3rd congressional district</t>
  </si>
  <si>
    <t>Nev.[q]</t>
  </si>
  <si>
    <t>N.H.</t>
  </si>
  <si>
    <t>N.J.[r]</t>
  </si>
  <si>
    <t>N.M.</t>
  </si>
  <si>
    <t>N.Y.</t>
  </si>
  <si>
    <t>N.C.</t>
  </si>
  <si>
    <t>N.D.</t>
  </si>
  <si>
    <t>Ohio</t>
  </si>
  <si>
    <t>Okla.</t>
  </si>
  <si>
    <t>Oregon</t>
  </si>
  <si>
    <t>Pa.</t>
  </si>
  <si>
    <t>R.I.</t>
  </si>
  <si>
    <t>S.C.</t>
  </si>
  <si>
    <t>S.D.</t>
  </si>
  <si>
    <t>Tenn.</t>
  </si>
  <si>
    <t>Texas[s]</t>
  </si>
  <si>
    <t>Utah</t>
  </si>
  <si>
    <t>Vt.</t>
  </si>
  <si>
    <t>Va.</t>
  </si>
  <si>
    <t>Wash.</t>
  </si>
  <si>
    <t>W.Va.</t>
  </si>
  <si>
    <t>Wis.</t>
  </si>
  <si>
    <t>Wyo.</t>
  </si>
  <si>
    <t>State or District</t>
  </si>
  <si>
    <t>Total Votes</t>
  </si>
  <si>
    <t>Third Party Votes</t>
  </si>
  <si>
    <t>% From Republicans</t>
  </si>
  <si>
    <t>% From Democrats</t>
  </si>
  <si>
    <t>New Democrat Vote</t>
  </si>
  <si>
    <t>New Republican Vote</t>
  </si>
  <si>
    <t>New Third Party Vote</t>
  </si>
  <si>
    <t>Democrat EV</t>
  </si>
  <si>
    <t>Republican EV</t>
  </si>
  <si>
    <t>Third Party EV</t>
  </si>
  <si>
    <t>Winner</t>
  </si>
  <si>
    <t>Democrats</t>
  </si>
  <si>
    <t>Republicans</t>
  </si>
  <si>
    <t>% Stay With Vote</t>
  </si>
  <si>
    <t>% Switch to Third Party</t>
  </si>
  <si>
    <t>Winner2</t>
  </si>
  <si>
    <t>Non Voters</t>
  </si>
  <si>
    <t>Est. Non Voters</t>
  </si>
  <si>
    <t>Non Voters Voting Third Party</t>
  </si>
  <si>
    <t>Total Democrat</t>
  </si>
  <si>
    <t>Total Republican</t>
  </si>
  <si>
    <t>Total Third Party</t>
  </si>
  <si>
    <t>Electoral Votes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</si>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</sst>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9" fontId="0" fillId="2" borderId="0" xfId="0" applyNumberFormat="1" applyFill="1"/>
    <xf numFmtId="9" fontId="0" fillId="0" borderId="0" xfId="0" applyNumberFormat="1"/>
    <xf numFmtId="1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3" fontId="0" fillId="0" borderId="1" xfId="0" applyNumberFormat="1" applyBorder="1"/>
  </cellXfs>
  <cellStyles count="1">
    <cellStyle name="Normal" xfId="0" builtinId="0"/>
  </cellStyles>
  <dxfs count="20">
    <dxf>
      <numFmt numFmtId="3" formatCode="#,##0"/>
    </dxf>
    <dxf>
      <numFmt numFmtId="3" formatCode="#,##0"/>
    </dxf>
    <dxf>
      <numFmt numFmtId="3" formatCode="#,##0"/>
    </dxf>
    <dxf>
      <numFmt numFmtId="13" formatCode="0%"/>
    </dxf>
    <dxf>
      <numFmt numFmtId="3" formatCode="#,##0"/>
    </dxf>
    <dxf>
      <numFmt numFmtId="3" formatCode="#,##0"/>
    </dxf>
    <dxf>
      <numFmt numFmtId="13" formatCode="0%"/>
    </dxf>
    <dxf>
      <numFmt numFmtId="13" formatCode="0%"/>
    </dxf>
    <dxf>
      <numFmt numFmtId="1" formatCode="0"/>
    </dxf>
    <dxf>
      <numFmt numFmtId="1" formatCode="0"/>
    </dxf>
    <dxf>
      <numFmt numFmtId="1" formatCode="0"/>
    </dxf>
    <dxf>
      <numFmt numFmtId="0" formatCode="General"/>
    </dxf>
    <dxf>
      <numFmt numFmtId="13" formatCode="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B448C2-350B-4D58-8802-E3D83D0A97A0}" name="Table1" displayName="Table1" ref="A1:T57" totalsRowShown="0">
  <autoFilter ref="A1:T57" xr:uid="{06B448C2-350B-4D58-8802-E3D83D0A97A0}"/>
  <sortState xmlns:xlrd2="http://schemas.microsoft.com/office/spreadsheetml/2017/richdata2" ref="A2:P57">
    <sortCondition ref="A1:A57"/>
  </sortState>
  <tableColumns count="20">
    <tableColumn id="1" xr3:uid="{6786C019-3CDF-4DD5-ABD1-2800B9B65FD7}" name="State or District"/>
    <tableColumn id="2" xr3:uid="{D854EB30-CA08-4240-B8C2-B9E0CC8B2865}" name="Democratic" dataDxfId="19"/>
    <tableColumn id="3" xr3:uid="{CE5C802A-7F2A-48F9-9EF7-0695EBBB06E7}" name="Republican" dataDxfId="18"/>
    <tableColumn id="4" xr3:uid="{DE0DAEDB-903B-4188-8A8A-D7AB3320B22E}" name="Libertarian" dataDxfId="17"/>
    <tableColumn id="5" xr3:uid="{51F1870B-95DF-4587-A559-77736EB356DC}" name="Green" dataDxfId="16"/>
    <tableColumn id="6" xr3:uid="{A5BAA290-6811-4E7A-833E-789003F9E27D}" name="Others" dataDxfId="15"/>
    <tableColumn id="7" xr3:uid="{804D3AFF-6642-43DE-9155-37B9F76C1588}" name="Total Votes" dataDxfId="14"/>
    <tableColumn id="20" xr3:uid="{075D7D12-329B-4846-A2BD-D815624FFA38}" name="Est. Non Voters" dataDxfId="4">
      <calculatedColumnFormula>(Table1[[#This Row],[Total Votes]]*1.492537313)-Table1[[#This Row],[Total Votes]]</calculatedColumnFormula>
    </tableColumn>
    <tableColumn id="19" xr3:uid="{37207A92-F915-4A03-91F0-8C10DB4B2DB0}" name="Winner" dataDxfId="5">
      <calculatedColumnFormula>IF(Table1[[#This Row],[Democratic]]&gt;Table1[[#This Row],[Republican]],"D","R")</calculatedColumnFormula>
    </tableColumn>
    <tableColumn id="9" xr3:uid="{9076E640-CE43-47A5-B74F-8C8A505BB82D}" name="% From Democrats" dataDxfId="12">
      <calculatedColumnFormula>X2</calculatedColumnFormula>
    </tableColumn>
    <tableColumn id="10" xr3:uid="{35D75DA6-0E02-4330-8A94-DECBC865BD5B}" name="% From Republicans" dataDxfId="13"/>
    <tableColumn id="22" xr3:uid="{F3E967A7-8D82-469A-AF81-BE49D82B92A1}" name="Non Voters Voting Third Party" dataDxfId="3">
      <calculatedColumnFormula>W4</calculatedColumnFormula>
    </tableColumn>
    <tableColumn id="13" xr3:uid="{DD6D703C-98AF-404F-80F9-EC688E73F5F5}" name="New Democrat Vote" dataDxfId="2">
      <calculatedColumnFormula>Table1[[#This Row],[Democratic]]*Table1[[#This Row],[% From Democrats]]</calculatedColumnFormula>
    </tableColumn>
    <tableColumn id="12" xr3:uid="{03631B6E-AE78-4F99-8A27-4E9C75748ECC}" name="New Republican Vote" dataDxfId="1">
      <calculatedColumnFormula>Table1[[#This Row],[Republican]]*Table1[[#This Row],[% From Republicans]]</calculatedColumnFormula>
    </tableColumn>
    <tableColumn id="11" xr3:uid="{DB5E0176-6272-431F-93D7-FEDF7EB7C9C4}" name="New Third Party Vote" dataDxfId="0">
      <calculatedColumnFormula>(Table1[[#This Row],[Democratic]]-Table1[[#This Row],[New Democrat Vote]])+(Table1[[#This Row],[Republican]]-Table1[[#This Row],[New Republican Vote]])+(Table1[[#This Row],[Non Voters Voting Third Party]]*Table1[[#This Row],[Est. Non Voters]])</calculatedColumnFormula>
    </tableColumn>
    <tableColumn id="8" xr3:uid="{7E22B1F1-2B34-41F7-AC13-7C7955FFC36E}" name="EV"/>
    <tableColumn id="17" xr3:uid="{16A83E71-79E8-4D31-8A2F-C8526CE0207E}" name="Winner2" dataDxfId="11">
      <calculatedColumnFormula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calculatedColumnFormula>
    </tableColumn>
    <tableColumn id="14" xr3:uid="{ACA1FD4E-28E0-4516-8AF5-C24320090DB0}" name="Democrat EV" dataDxfId="10">
      <calculatedColumnFormula>IF(Table1[[#This Row],[Winner2]]="D",Table1[[#This Row],[EV]],0)</calculatedColumnFormula>
    </tableColumn>
    <tableColumn id="15" xr3:uid="{1B3A3F78-F573-4604-B82D-DBD2FCFF25D8}" name="Republican EV" dataDxfId="9">
      <calculatedColumnFormula>IF(Table1[[#This Row],[Winner2]]="R",Table1[[#This Row],[EV]],"0")</calculatedColumnFormula>
    </tableColumn>
    <tableColumn id="16" xr3:uid="{71DC87EF-652F-45E6-9D89-85BF82C0F766}" name="Third Party EV" dataDxfId="8">
      <calculatedColumnFormula>IF(Table1[[#This Row],[Winner2]]="T",Table1[[#This Row],[EV]],"0")</calculatedColumnFormula>
    </tableColumn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2DFCD87-F769-4C65-80F7-03D027B12FBD}" name="TableThirdParty" displayName="TableThirdParty" ref="V1:X4" totalsRowShown="0">
  <autoFilter ref="V1:X4" xr:uid="{E2DFCD87-F769-4C65-80F7-03D027B12FBD}"/>
  <tableColumns count="3">
    <tableColumn id="1" xr3:uid="{4F8D1A80-BEE9-4EE5-A184-219B3D812A2D}" name="Third Party Votes"/>
    <tableColumn id="2" xr3:uid="{A4271476-B99A-4035-85C2-A5988653DEF9}" name="% Switch to Third Party" dataDxfId="7"/>
    <tableColumn id="4" xr3:uid="{508BF485-AEF1-4FC9-8C3B-90B79F65427F}" name="% Stay With Vote" dataDxfId="6">
      <calculatedColumnFormula>1-TableThirdParty[[#This Row],[% Switch to Third Party]]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09036-3C1B-4185-8778-6CA0BA94AA94}">
  <dimension ref="A1:X58"/>
  <sheetViews>
    <sheetView tabSelected="1" topLeftCell="O1" workbookViewId="0">
      <selection activeCell="W3" sqref="W3"/>
    </sheetView>
  </sheetViews>
  <sheetFormatPr defaultRowHeight="15" x14ac:dyDescent="0.25"/>
  <cols>
    <col min="1" max="1" width="16.7109375" customWidth="1"/>
    <col min="2" max="2" width="13.140625" customWidth="1"/>
    <col min="3" max="3" width="13" customWidth="1"/>
    <col min="4" max="4" width="12.7109375" customWidth="1"/>
    <col min="7" max="11" width="11" customWidth="1"/>
    <col min="12" max="12" width="15.5703125" customWidth="1"/>
    <col min="13" max="13" width="21.42578125" customWidth="1"/>
    <col min="14" max="15" width="23.42578125" customWidth="1"/>
    <col min="18" max="20" width="9.140625" customWidth="1"/>
    <col min="22" max="22" width="23.28515625" customWidth="1"/>
    <col min="23" max="23" width="23" customWidth="1"/>
    <col min="24" max="24" width="17.7109375" customWidth="1"/>
  </cols>
  <sheetData>
    <row r="1" spans="1:24" x14ac:dyDescent="0.25">
      <c r="A1" t="s">
        <v>63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64</v>
      </c>
      <c r="H1" t="s">
        <v>81</v>
      </c>
      <c r="I1" t="s">
        <v>74</v>
      </c>
      <c r="J1" t="s">
        <v>67</v>
      </c>
      <c r="K1" t="s">
        <v>66</v>
      </c>
      <c r="L1" t="s">
        <v>82</v>
      </c>
      <c r="M1" t="s">
        <v>68</v>
      </c>
      <c r="N1" t="s">
        <v>69</v>
      </c>
      <c r="O1" t="s">
        <v>70</v>
      </c>
      <c r="P1" t="s">
        <v>6</v>
      </c>
      <c r="Q1" t="s">
        <v>79</v>
      </c>
      <c r="R1" t="s">
        <v>71</v>
      </c>
      <c r="S1" t="s">
        <v>72</v>
      </c>
      <c r="T1" t="s">
        <v>73</v>
      </c>
      <c r="V1" t="s">
        <v>65</v>
      </c>
      <c r="W1" t="s">
        <v>78</v>
      </c>
      <c r="X1" t="s">
        <v>77</v>
      </c>
    </row>
    <row r="2" spans="1:24" x14ac:dyDescent="0.25">
      <c r="A2" t="s">
        <v>7</v>
      </c>
      <c r="B2" s="1">
        <v>849624</v>
      </c>
      <c r="C2" s="1">
        <v>1441170</v>
      </c>
      <c r="D2" s="1">
        <v>25176</v>
      </c>
      <c r="F2" s="1">
        <v>7312</v>
      </c>
      <c r="G2" s="1">
        <v>2323282</v>
      </c>
      <c r="H2" s="1">
        <f>(Table1[[#This Row],[Total Votes]]*1.492537313)-Table1[[#This Row],[Total Votes]]</f>
        <v>1144303.0736212656</v>
      </c>
      <c r="I2" s="1" t="str">
        <f>IF(Table1[[#This Row],[Democratic]]&gt;Table1[[#This Row],[Republican]],"D","R")</f>
        <v>R</v>
      </c>
      <c r="J2" s="3">
        <f>X2</f>
        <v>0.47</v>
      </c>
      <c r="K2" s="3">
        <f>X3</f>
        <v>0.81</v>
      </c>
      <c r="L2" s="3">
        <f>W4</f>
        <v>7.0000000000000007E-2</v>
      </c>
      <c r="M2" s="1">
        <f>Table1[[#This Row],[Democratic]]*Table1[[#This Row],[% From Democrats]]</f>
        <v>399323.27999999997</v>
      </c>
      <c r="N2" s="1">
        <f>Table1[[#This Row],[Republican]]*Table1[[#This Row],[% From Republicans]]</f>
        <v>1167347.7000000002</v>
      </c>
      <c r="O2" s="1">
        <f>(Table1[[#This Row],[Democratic]]-Table1[[#This Row],[New Democrat Vote]])+(Table1[[#This Row],[Republican]]-Table1[[#This Row],[New Republican Vote]])+(Table1[[#This Row],[Non Voters Voting Third Party]]*Table1[[#This Row],[Est. Non Voters]])</f>
        <v>804224.23515348835</v>
      </c>
      <c r="P2">
        <v>9</v>
      </c>
      <c r="Q2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2" s="4">
        <f>IF(Table1[[#This Row],[Winner2]]="D",Table1[[#This Row],[EV]],0)</f>
        <v>0</v>
      </c>
      <c r="S2" s="4">
        <f>IF(Table1[[#This Row],[Winner2]]="R",Table1[[#This Row],[EV]],"0")</f>
        <v>9</v>
      </c>
      <c r="T2" s="4" t="str">
        <f>IF(Table1[[#This Row],[Winner2]]="T",Table1[[#This Row],[EV]],"0")</f>
        <v>0</v>
      </c>
      <c r="V2" t="s">
        <v>75</v>
      </c>
      <c r="W2" s="2">
        <v>0.53</v>
      </c>
      <c r="X2" s="3">
        <f>1-TableThirdParty[[#This Row],[% Switch to Third Party]]</f>
        <v>0.47</v>
      </c>
    </row>
    <row r="3" spans="1:24" x14ac:dyDescent="0.25">
      <c r="A3" t="s">
        <v>8</v>
      </c>
      <c r="B3" s="1">
        <v>153778</v>
      </c>
      <c r="C3" s="1">
        <v>189951</v>
      </c>
      <c r="D3" s="1">
        <v>8897</v>
      </c>
      <c r="F3" s="1">
        <v>6904</v>
      </c>
      <c r="G3" s="1">
        <v>359530</v>
      </c>
      <c r="H3" s="1">
        <f>(Table1[[#This Row],[Total Votes]]*1.492537313)-Table1[[#This Row],[Total Votes]]</f>
        <v>177081.94014288997</v>
      </c>
      <c r="I3" s="1" t="str">
        <f>IF(Table1[[#This Row],[Democratic]]&gt;Table1[[#This Row],[Republican]],"D","R")</f>
        <v>R</v>
      </c>
      <c r="J3" s="3">
        <f>J2</f>
        <v>0.47</v>
      </c>
      <c r="K3" s="3">
        <f>K2</f>
        <v>0.81</v>
      </c>
      <c r="L3" s="3">
        <f>L2</f>
        <v>7.0000000000000007E-2</v>
      </c>
      <c r="M3" s="1">
        <f>Table1[[#This Row],[Democratic]]*Table1[[#This Row],[% From Democrats]]</f>
        <v>72275.659999999989</v>
      </c>
      <c r="N3" s="1">
        <f>Table1[[#This Row],[Republican]]*Table1[[#This Row],[% From Republicans]]</f>
        <v>153860.31</v>
      </c>
      <c r="O3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129988.76581000231</v>
      </c>
      <c r="P3">
        <v>3</v>
      </c>
      <c r="Q3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3" s="4">
        <f>IF(Table1[[#This Row],[Winner2]]="D",Table1[[#This Row],[EV]],0)</f>
        <v>0</v>
      </c>
      <c r="S3" s="4">
        <f>IF(Table1[[#This Row],[Winner2]]="R",Table1[[#This Row],[EV]],"0")</f>
        <v>3</v>
      </c>
      <c r="T3" s="4" t="str">
        <f>IF(Table1[[#This Row],[Winner2]]="T",Table1[[#This Row],[EV]],"0")</f>
        <v>0</v>
      </c>
      <c r="V3" t="s">
        <v>76</v>
      </c>
      <c r="W3" s="2">
        <v>0.19</v>
      </c>
      <c r="X3" s="3">
        <f>1-TableThirdParty[[#This Row],[% Switch to Third Party]]</f>
        <v>0.81</v>
      </c>
    </row>
    <row r="4" spans="1:24" x14ac:dyDescent="0.25">
      <c r="A4" t="s">
        <v>9</v>
      </c>
      <c r="B4" s="1">
        <v>1672143</v>
      </c>
      <c r="C4" s="1">
        <v>1661686</v>
      </c>
      <c r="D4" s="1">
        <v>51465</v>
      </c>
      <c r="E4" s="1">
        <v>1557</v>
      </c>
      <c r="F4">
        <v>475</v>
      </c>
      <c r="G4" s="1">
        <v>3387326</v>
      </c>
      <c r="H4" s="1">
        <f>(Table1[[#This Row],[Total Votes]]*1.492537313)-Table1[[#This Row],[Total Votes]]</f>
        <v>1668384.4462950379</v>
      </c>
      <c r="I4" s="1" t="str">
        <f>IF(Table1[[#This Row],[Democratic]]&gt;Table1[[#This Row],[Republican]],"D","R")</f>
        <v>D</v>
      </c>
      <c r="J4" s="3">
        <f t="shared" ref="J4:K57" si="0">J3</f>
        <v>0.47</v>
      </c>
      <c r="K4" s="3">
        <f t="shared" si="0"/>
        <v>0.81</v>
      </c>
      <c r="L4" s="3">
        <f t="shared" ref="L4:L57" si="1">L3</f>
        <v>7.0000000000000007E-2</v>
      </c>
      <c r="M4" s="1">
        <f>Table1[[#This Row],[Democratic]]*Table1[[#This Row],[% From Democrats]]</f>
        <v>785907.21</v>
      </c>
      <c r="N4" s="1">
        <f>Table1[[#This Row],[Republican]]*Table1[[#This Row],[% From Republicans]]</f>
        <v>1345965.6600000001</v>
      </c>
      <c r="O4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1318743.0412406526</v>
      </c>
      <c r="P4">
        <v>11</v>
      </c>
      <c r="Q4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4" s="4">
        <f>IF(Table1[[#This Row],[Winner2]]="D",Table1[[#This Row],[EV]],0)</f>
        <v>0</v>
      </c>
      <c r="S4" s="4">
        <f>IF(Table1[[#This Row],[Winner2]]="R",Table1[[#This Row],[EV]],"0")</f>
        <v>11</v>
      </c>
      <c r="T4" s="4" t="str">
        <f>IF(Table1[[#This Row],[Winner2]]="T",Table1[[#This Row],[EV]],"0")</f>
        <v>0</v>
      </c>
      <c r="V4" t="s">
        <v>80</v>
      </c>
      <c r="W4" s="2">
        <v>7.0000000000000007E-2</v>
      </c>
      <c r="X4" s="3">
        <f>1-TableThirdParty[[#This Row],[% Switch to Third Party]]</f>
        <v>0.92999999999999994</v>
      </c>
    </row>
    <row r="5" spans="1:24" x14ac:dyDescent="0.25">
      <c r="A5" t="s">
        <v>10</v>
      </c>
      <c r="B5" s="1">
        <v>423932</v>
      </c>
      <c r="C5" s="1">
        <v>760647</v>
      </c>
      <c r="D5" s="1">
        <v>13133</v>
      </c>
      <c r="E5" s="1">
        <v>2980</v>
      </c>
      <c r="F5" s="1">
        <v>18377</v>
      </c>
      <c r="G5" s="1">
        <v>1219069</v>
      </c>
      <c r="H5" s="1">
        <f>(Table1[[#This Row],[Total Votes]]*1.492537313)-Table1[[#This Row],[Total Votes]]</f>
        <v>600436.96962159686</v>
      </c>
      <c r="I5" s="1" t="str">
        <f>IF(Table1[[#This Row],[Democratic]]&gt;Table1[[#This Row],[Republican]],"D","R")</f>
        <v>R</v>
      </c>
      <c r="J5" s="3">
        <f t="shared" si="0"/>
        <v>0.47</v>
      </c>
      <c r="K5" s="3">
        <f t="shared" si="0"/>
        <v>0.81</v>
      </c>
      <c r="L5" s="3">
        <f t="shared" si="1"/>
        <v>7.0000000000000007E-2</v>
      </c>
      <c r="M5" s="1">
        <f>Table1[[#This Row],[Democratic]]*Table1[[#This Row],[% From Democrats]]</f>
        <v>199248.03999999998</v>
      </c>
      <c r="N5" s="1">
        <f>Table1[[#This Row],[Republican]]*Table1[[#This Row],[% From Republicans]]</f>
        <v>616124.07000000007</v>
      </c>
      <c r="O5" s="1">
        <f>(Table1[[#This Row],[Democratic]]-Table1[[#This Row],[New Democrat Vote]])+(Table1[[#This Row],[Republican]]-Table1[[#This Row],[New Republican Vote]])+(Table1[[#This Row],[Non Voters Voting Third Party]]*Table1[[#This Row],[Est. Non Voters]])</f>
        <v>411237.47787351173</v>
      </c>
      <c r="P5">
        <v>6</v>
      </c>
      <c r="Q5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5" s="4">
        <f>IF(Table1[[#This Row],[Winner2]]="D",Table1[[#This Row],[EV]],0)</f>
        <v>0</v>
      </c>
      <c r="S5" s="4">
        <f>IF(Table1[[#This Row],[Winner2]]="R",Table1[[#This Row],[EV]],"0")</f>
        <v>6</v>
      </c>
      <c r="T5" s="4" t="str">
        <f>IF(Table1[[#This Row],[Winner2]]="T",Table1[[#This Row],[EV]],"0")</f>
        <v>0</v>
      </c>
    </row>
    <row r="6" spans="1:24" x14ac:dyDescent="0.25">
      <c r="A6" t="s">
        <v>11</v>
      </c>
      <c r="B6" s="1">
        <v>11110639</v>
      </c>
      <c r="C6" s="1">
        <v>6006518</v>
      </c>
      <c r="D6" s="1">
        <v>187910</v>
      </c>
      <c r="E6" s="1">
        <v>81032</v>
      </c>
      <c r="F6" s="1">
        <v>115281</v>
      </c>
      <c r="G6" s="1">
        <v>17501380</v>
      </c>
      <c r="H6" s="1">
        <f>(Table1[[#This Row],[Total Votes]]*1.492537313)-Table1[[#This Row],[Total Votes]]</f>
        <v>8620082.6789919399</v>
      </c>
      <c r="I6" s="1" t="str">
        <f>IF(Table1[[#This Row],[Democratic]]&gt;Table1[[#This Row],[Republican]],"D","R")</f>
        <v>D</v>
      </c>
      <c r="J6" s="3">
        <f t="shared" si="0"/>
        <v>0.47</v>
      </c>
      <c r="K6" s="3">
        <f t="shared" si="0"/>
        <v>0.81</v>
      </c>
      <c r="L6" s="3">
        <f t="shared" si="1"/>
        <v>7.0000000000000007E-2</v>
      </c>
      <c r="M6" s="1">
        <f>Table1[[#This Row],[Democratic]]*Table1[[#This Row],[% From Democrats]]</f>
        <v>5222000.33</v>
      </c>
      <c r="N6" s="1">
        <f>Table1[[#This Row],[Republican]]*Table1[[#This Row],[% From Republicans]]</f>
        <v>4865279.58</v>
      </c>
      <c r="O6" s="1">
        <f>(Table1[[#This Row],[Democratic]]-Table1[[#This Row],[New Democrat Vote]])+(Table1[[#This Row],[Republican]]-Table1[[#This Row],[New Republican Vote]])+(Table1[[#This Row],[Non Voters Voting Third Party]]*Table1[[#This Row],[Est. Non Voters]])</f>
        <v>7633282.8775294358</v>
      </c>
      <c r="P6">
        <v>55</v>
      </c>
      <c r="Q6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6" s="4">
        <f>IF(Table1[[#This Row],[Winner2]]="D",Table1[[#This Row],[EV]],0)</f>
        <v>0</v>
      </c>
      <c r="S6" s="4" t="str">
        <f>IF(Table1[[#This Row],[Winner2]]="R",Table1[[#This Row],[EV]],"0")</f>
        <v>0</v>
      </c>
      <c r="T6" s="4">
        <f>IF(Table1[[#This Row],[Winner2]]="T",Table1[[#This Row],[EV]],"0")</f>
        <v>55</v>
      </c>
      <c r="W6" t="s">
        <v>86</v>
      </c>
      <c r="X6" t="s">
        <v>64</v>
      </c>
    </row>
    <row r="7" spans="1:24" x14ac:dyDescent="0.25">
      <c r="A7" t="s">
        <v>12</v>
      </c>
      <c r="B7" s="1">
        <v>1804352</v>
      </c>
      <c r="C7" s="1">
        <v>1364607</v>
      </c>
      <c r="D7" s="1">
        <v>52460</v>
      </c>
      <c r="E7" s="1">
        <v>8986</v>
      </c>
      <c r="F7" s="1">
        <v>26575</v>
      </c>
      <c r="G7" s="1">
        <v>3256980</v>
      </c>
      <c r="H7" s="1">
        <f>(Table1[[#This Row],[Total Votes]]*1.492537313)-Table1[[#This Row],[Total Votes]]</f>
        <v>1604184.1776947398</v>
      </c>
      <c r="I7" s="1" t="str">
        <f>IF(Table1[[#This Row],[Democratic]]&gt;Table1[[#This Row],[Republican]],"D","R")</f>
        <v>D</v>
      </c>
      <c r="J7" s="3">
        <f t="shared" si="0"/>
        <v>0.47</v>
      </c>
      <c r="K7" s="3">
        <f t="shared" si="0"/>
        <v>0.81</v>
      </c>
      <c r="L7" s="3">
        <f t="shared" si="1"/>
        <v>7.0000000000000007E-2</v>
      </c>
      <c r="M7" s="1">
        <f>Table1[[#This Row],[Democratic]]*Table1[[#This Row],[% From Democrats]]</f>
        <v>848045.44</v>
      </c>
      <c r="N7" s="1">
        <f>Table1[[#This Row],[Republican]]*Table1[[#This Row],[% From Republicans]]</f>
        <v>1105331.6700000002</v>
      </c>
      <c r="O7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1327874.7824386316</v>
      </c>
      <c r="P7">
        <v>9</v>
      </c>
      <c r="Q7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7" s="4">
        <f>IF(Table1[[#This Row],[Winner2]]="D",Table1[[#This Row],[EV]],0)</f>
        <v>0</v>
      </c>
      <c r="S7" s="4" t="str">
        <f>IF(Table1[[#This Row],[Winner2]]="R",Table1[[#This Row],[EV]],"0")</f>
        <v>0</v>
      </c>
      <c r="T7" s="4">
        <f>IF(Table1[[#This Row],[Winner2]]="T",Table1[[#This Row],[EV]],"0")</f>
        <v>9</v>
      </c>
      <c r="V7" s="5" t="s">
        <v>83</v>
      </c>
      <c r="W7" s="6">
        <f>SUM(Table1[Democrat EV])</f>
        <v>0</v>
      </c>
      <c r="X7" s="8">
        <f>SUM(Table1[New Democrat Vote])</f>
        <v>38583783.320000008</v>
      </c>
    </row>
    <row r="8" spans="1:24" x14ac:dyDescent="0.25">
      <c r="A8" t="s">
        <v>13</v>
      </c>
      <c r="B8" s="1">
        <v>1080831</v>
      </c>
      <c r="C8" s="1">
        <v>714717</v>
      </c>
      <c r="D8" s="1">
        <v>20230</v>
      </c>
      <c r="E8" s="1">
        <v>7538</v>
      </c>
      <c r="F8">
        <v>541</v>
      </c>
      <c r="G8" s="1">
        <v>1823857</v>
      </c>
      <c r="H8" s="1">
        <f>(Table1[[#This Row],[Total Votes]]*1.492537313)-Table1[[#This Row],[Total Votes]]</f>
        <v>898317.62607624102</v>
      </c>
      <c r="I8" s="1" t="str">
        <f>IF(Table1[[#This Row],[Democratic]]&gt;Table1[[#This Row],[Republican]],"D","R")</f>
        <v>D</v>
      </c>
      <c r="J8" s="3">
        <f t="shared" si="0"/>
        <v>0.47</v>
      </c>
      <c r="K8" s="3">
        <f t="shared" si="0"/>
        <v>0.81</v>
      </c>
      <c r="L8" s="3">
        <f t="shared" si="1"/>
        <v>7.0000000000000007E-2</v>
      </c>
      <c r="M8" s="1">
        <f>Table1[[#This Row],[Democratic]]*Table1[[#This Row],[% From Democrats]]</f>
        <v>507990.56999999995</v>
      </c>
      <c r="N8" s="1">
        <f>Table1[[#This Row],[Republican]]*Table1[[#This Row],[% From Republicans]]</f>
        <v>578920.77</v>
      </c>
      <c r="O8" s="1">
        <f>(Table1[[#This Row],[Democratic]]-Table1[[#This Row],[New Democrat Vote]])+(Table1[[#This Row],[Republican]]-Table1[[#This Row],[New Republican Vote]])+(Table1[[#This Row],[Non Voters Voting Third Party]]*Table1[[#This Row],[Est. Non Voters]])</f>
        <v>771518.89382533694</v>
      </c>
      <c r="P8">
        <v>7</v>
      </c>
      <c r="Q8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8" s="4">
        <f>IF(Table1[[#This Row],[Winner2]]="D",Table1[[#This Row],[EV]],0)</f>
        <v>0</v>
      </c>
      <c r="S8" s="4" t="str">
        <f>IF(Table1[[#This Row],[Winner2]]="R",Table1[[#This Row],[EV]],"0")</f>
        <v>0</v>
      </c>
      <c r="T8" s="4">
        <f>IF(Table1[[#This Row],[Winner2]]="T",Table1[[#This Row],[EV]],"0")</f>
        <v>7</v>
      </c>
      <c r="V8" s="5" t="s">
        <v>84</v>
      </c>
      <c r="W8" s="6">
        <f>SUM(Table1[Republican EV])</f>
        <v>289</v>
      </c>
      <c r="X8" s="8">
        <f>SUM(Table1[New Republican Vote])</f>
        <v>60864661.979999997</v>
      </c>
    </row>
    <row r="9" spans="1:24" x14ac:dyDescent="0.25">
      <c r="A9" t="s">
        <v>15</v>
      </c>
      <c r="B9" s="1">
        <v>317323</v>
      </c>
      <c r="C9" s="1">
        <v>18586</v>
      </c>
      <c r="D9" s="1">
        <v>2036</v>
      </c>
      <c r="E9" s="1">
        <v>1726</v>
      </c>
      <c r="F9" s="1">
        <v>4685</v>
      </c>
      <c r="G9" s="1">
        <v>344356</v>
      </c>
      <c r="H9" s="1">
        <f>(Table1[[#This Row],[Total Votes]]*1.492537313)-Table1[[#This Row],[Total Votes]]</f>
        <v>169608.17895542795</v>
      </c>
      <c r="I9" s="1" t="str">
        <f>IF(Table1[[#This Row],[Democratic]]&gt;Table1[[#This Row],[Republican]],"D","R")</f>
        <v>D</v>
      </c>
      <c r="J9" s="3">
        <f t="shared" si="0"/>
        <v>0.47</v>
      </c>
      <c r="K9" s="3">
        <f t="shared" si="0"/>
        <v>0.81</v>
      </c>
      <c r="L9" s="3">
        <f t="shared" si="1"/>
        <v>7.0000000000000007E-2</v>
      </c>
      <c r="M9" s="1">
        <f>Table1[[#This Row],[Democratic]]*Table1[[#This Row],[% From Democrats]]</f>
        <v>149141.81</v>
      </c>
      <c r="N9" s="1">
        <f>Table1[[#This Row],[Republican]]*Table1[[#This Row],[% From Republicans]]</f>
        <v>15054.660000000002</v>
      </c>
      <c r="O9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183585.10252687996</v>
      </c>
      <c r="P9">
        <v>3</v>
      </c>
      <c r="Q9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9" s="4">
        <f>IF(Table1[[#This Row],[Winner2]]="D",Table1[[#This Row],[EV]],0)</f>
        <v>0</v>
      </c>
      <c r="S9" s="4" t="str">
        <f>IF(Table1[[#This Row],[Winner2]]="R",Table1[[#This Row],[EV]],"0")</f>
        <v>0</v>
      </c>
      <c r="T9" s="4">
        <f>IF(Table1[[#This Row],[Winner2]]="T",Table1[[#This Row],[EV]],"0")</f>
        <v>3</v>
      </c>
      <c r="V9" s="5" t="s">
        <v>85</v>
      </c>
      <c r="W9" s="6">
        <f>SUM(Table1[Third Party EV])</f>
        <v>249</v>
      </c>
      <c r="X9" s="8">
        <f>SUM(Table1[New Third Party Vote])</f>
        <v>63309770.892907225</v>
      </c>
    </row>
    <row r="10" spans="1:24" x14ac:dyDescent="0.25">
      <c r="A10" t="s">
        <v>14</v>
      </c>
      <c r="B10" s="1">
        <v>296268</v>
      </c>
      <c r="C10" s="1">
        <v>200603</v>
      </c>
      <c r="D10" s="1">
        <v>5000</v>
      </c>
      <c r="E10" s="1">
        <v>2139</v>
      </c>
      <c r="F10">
        <v>336</v>
      </c>
      <c r="G10" s="1">
        <v>504346</v>
      </c>
      <c r="H10" s="1">
        <f>(Table1[[#This Row],[Total Votes]]*1.492537313)-Table1[[#This Row],[Total Votes]]</f>
        <v>248409.22366229794</v>
      </c>
      <c r="I10" s="1" t="str">
        <f>IF(Table1[[#This Row],[Democratic]]&gt;Table1[[#This Row],[Republican]],"D","R")</f>
        <v>D</v>
      </c>
      <c r="J10" s="3">
        <f t="shared" si="0"/>
        <v>0.47</v>
      </c>
      <c r="K10" s="3">
        <f t="shared" si="0"/>
        <v>0.81</v>
      </c>
      <c r="L10" s="3">
        <f t="shared" si="1"/>
        <v>7.0000000000000007E-2</v>
      </c>
      <c r="M10" s="1">
        <f>Table1[[#This Row],[Democratic]]*Table1[[#This Row],[% From Democrats]]</f>
        <v>139245.96</v>
      </c>
      <c r="N10" s="1">
        <f>Table1[[#This Row],[Republican]]*Table1[[#This Row],[% From Republicans]]</f>
        <v>162488.43000000002</v>
      </c>
      <c r="O10" s="1">
        <f>(Table1[[#This Row],[Democratic]]-Table1[[#This Row],[New Democrat Vote]])+(Table1[[#This Row],[Republican]]-Table1[[#This Row],[New Republican Vote]])+(Table1[[#This Row],[Non Voters Voting Third Party]]*Table1[[#This Row],[Est. Non Voters]])</f>
        <v>212525.25565636085</v>
      </c>
      <c r="P10">
        <v>3</v>
      </c>
      <c r="Q10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10" s="4">
        <f>IF(Table1[[#This Row],[Winner2]]="D",Table1[[#This Row],[EV]],0)</f>
        <v>0</v>
      </c>
      <c r="S10" s="4" t="str">
        <f>IF(Table1[[#This Row],[Winner2]]="R",Table1[[#This Row],[EV]],"0")</f>
        <v>0</v>
      </c>
      <c r="T10" s="4">
        <f>IF(Table1[[#This Row],[Winner2]]="T",Table1[[#This Row],[EV]],"0")</f>
        <v>3</v>
      </c>
      <c r="V10" s="5" t="s">
        <v>74</v>
      </c>
      <c r="W10" s="7" t="str">
        <f>IF(W7&gt;W8,IF(W7&gt;W9,"Democrats","Third Party"),IF(W8&gt;W9,"Republicans","Third Party"))</f>
        <v>Republicans</v>
      </c>
      <c r="X10" s="7"/>
    </row>
    <row r="11" spans="1:24" x14ac:dyDescent="0.25">
      <c r="A11" t="s">
        <v>16</v>
      </c>
      <c r="B11" s="1">
        <v>5297045</v>
      </c>
      <c r="C11" s="1">
        <v>5668731</v>
      </c>
      <c r="D11" s="1">
        <v>70324</v>
      </c>
      <c r="E11" s="1">
        <v>14721</v>
      </c>
      <c r="F11" s="1">
        <v>16635</v>
      </c>
      <c r="G11" s="1">
        <v>11067456</v>
      </c>
      <c r="H11" s="1">
        <f>(Table1[[#This Row],[Total Votes]]*1.492537313)-Table1[[#This Row],[Total Votes]]</f>
        <v>5451135.0399857275</v>
      </c>
      <c r="I11" s="1" t="str">
        <f>IF(Table1[[#This Row],[Democratic]]&gt;Table1[[#This Row],[Republican]],"D","R")</f>
        <v>R</v>
      </c>
      <c r="J11" s="3">
        <f t="shared" si="0"/>
        <v>0.47</v>
      </c>
      <c r="K11" s="3">
        <f t="shared" si="0"/>
        <v>0.81</v>
      </c>
      <c r="L11" s="3">
        <f t="shared" si="1"/>
        <v>7.0000000000000007E-2</v>
      </c>
      <c r="M11" s="1">
        <f>Table1[[#This Row],[Democratic]]*Table1[[#This Row],[% From Democrats]]</f>
        <v>2489611.15</v>
      </c>
      <c r="N11" s="1">
        <f>Table1[[#This Row],[Republican]]*Table1[[#This Row],[% From Republicans]]</f>
        <v>4591672.1100000003</v>
      </c>
      <c r="O11" s="1">
        <f>(Table1[[#This Row],[Democratic]]-Table1[[#This Row],[New Democrat Vote]])+(Table1[[#This Row],[Republican]]-Table1[[#This Row],[New Republican Vote]])+(Table1[[#This Row],[Non Voters Voting Third Party]]*Table1[[#This Row],[Est. Non Voters]])</f>
        <v>4266072.192799001</v>
      </c>
      <c r="P11">
        <v>29</v>
      </c>
      <c r="Q11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11" s="4">
        <f>IF(Table1[[#This Row],[Winner2]]="D",Table1[[#This Row],[EV]],0)</f>
        <v>0</v>
      </c>
      <c r="S11" s="4">
        <f>IF(Table1[[#This Row],[Winner2]]="R",Table1[[#This Row],[EV]],"0")</f>
        <v>29</v>
      </c>
      <c r="T11" s="4" t="str">
        <f>IF(Table1[[#This Row],[Winner2]]="T",Table1[[#This Row],[EV]],"0")</f>
        <v>0</v>
      </c>
    </row>
    <row r="12" spans="1:24" x14ac:dyDescent="0.25">
      <c r="A12" t="s">
        <v>17</v>
      </c>
      <c r="B12" s="1">
        <v>2473633</v>
      </c>
      <c r="C12" s="1">
        <v>2461854</v>
      </c>
      <c r="D12" s="1">
        <v>62229</v>
      </c>
      <c r="E12" s="1">
        <v>1013</v>
      </c>
      <c r="F12" s="1">
        <v>1231</v>
      </c>
      <c r="G12" s="1">
        <v>4999960</v>
      </c>
      <c r="H12" s="1">
        <f>(Table1[[#This Row],[Total Votes]]*1.492537313)-Table1[[#This Row],[Total Votes]]</f>
        <v>2462666.8635074794</v>
      </c>
      <c r="I12" s="1" t="str">
        <f>IF(Table1[[#This Row],[Democratic]]&gt;Table1[[#This Row],[Republican]],"D","R")</f>
        <v>D</v>
      </c>
      <c r="J12" s="3">
        <f t="shared" si="0"/>
        <v>0.47</v>
      </c>
      <c r="K12" s="3">
        <f t="shared" si="0"/>
        <v>0.81</v>
      </c>
      <c r="L12" s="3">
        <f t="shared" si="1"/>
        <v>7.0000000000000007E-2</v>
      </c>
      <c r="M12" s="1">
        <f>Table1[[#This Row],[Democratic]]*Table1[[#This Row],[% From Democrats]]</f>
        <v>1162607.51</v>
      </c>
      <c r="N12" s="1">
        <f>Table1[[#This Row],[Republican]]*Table1[[#This Row],[% From Republicans]]</f>
        <v>1994101.7400000002</v>
      </c>
      <c r="O12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1951164.4304455235</v>
      </c>
      <c r="P12">
        <v>16</v>
      </c>
      <c r="Q12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12" s="4">
        <f>IF(Table1[[#This Row],[Winner2]]="D",Table1[[#This Row],[EV]],0)</f>
        <v>0</v>
      </c>
      <c r="S12" s="4">
        <f>IF(Table1[[#This Row],[Winner2]]="R",Table1[[#This Row],[EV]],"0")</f>
        <v>16</v>
      </c>
      <c r="T12" s="4" t="str">
        <f>IF(Table1[[#This Row],[Winner2]]="T",Table1[[#This Row],[EV]],"0")</f>
        <v>0</v>
      </c>
    </row>
    <row r="13" spans="1:24" x14ac:dyDescent="0.25">
      <c r="A13" t="s">
        <v>18</v>
      </c>
      <c r="B13" s="1">
        <v>366130</v>
      </c>
      <c r="C13" s="1">
        <v>196864</v>
      </c>
      <c r="D13" s="1">
        <v>5539</v>
      </c>
      <c r="E13" s="1">
        <v>3822</v>
      </c>
      <c r="F13" s="1">
        <v>2114</v>
      </c>
      <c r="G13" s="1">
        <v>574469</v>
      </c>
      <c r="H13" s="1">
        <f>(Table1[[#This Row],[Total Votes]]*1.492537313)-Table1[[#This Row],[Total Votes]]</f>
        <v>282947.41766179691</v>
      </c>
      <c r="I13" s="1" t="str">
        <f>IF(Table1[[#This Row],[Democratic]]&gt;Table1[[#This Row],[Republican]],"D","R")</f>
        <v>D</v>
      </c>
      <c r="J13" s="3">
        <f t="shared" si="0"/>
        <v>0.47</v>
      </c>
      <c r="K13" s="3">
        <f t="shared" si="0"/>
        <v>0.81</v>
      </c>
      <c r="L13" s="3">
        <f t="shared" si="1"/>
        <v>7.0000000000000007E-2</v>
      </c>
      <c r="M13" s="1">
        <f>Table1[[#This Row],[Democratic]]*Table1[[#This Row],[% From Democrats]]</f>
        <v>172081.09999999998</v>
      </c>
      <c r="N13" s="1">
        <f>Table1[[#This Row],[Republican]]*Table1[[#This Row],[% From Republicans]]</f>
        <v>159459.84</v>
      </c>
      <c r="O13" s="1">
        <f>(Table1[[#This Row],[Democratic]]-Table1[[#This Row],[New Democrat Vote]])+(Table1[[#This Row],[Republican]]-Table1[[#This Row],[New Republican Vote]])+(Table1[[#This Row],[Non Voters Voting Third Party]]*Table1[[#This Row],[Est. Non Voters]])</f>
        <v>251259.3792363258</v>
      </c>
      <c r="P13">
        <v>4</v>
      </c>
      <c r="Q13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13" s="4">
        <f>IF(Table1[[#This Row],[Winner2]]="D",Table1[[#This Row],[EV]],0)</f>
        <v>0</v>
      </c>
      <c r="S13" s="4" t="str">
        <f>IF(Table1[[#This Row],[Winner2]]="R",Table1[[#This Row],[EV]],"0")</f>
        <v>0</v>
      </c>
      <c r="T13" s="4">
        <f>IF(Table1[[#This Row],[Winner2]]="T",Table1[[#This Row],[EV]],"0")</f>
        <v>4</v>
      </c>
    </row>
    <row r="14" spans="1:24" x14ac:dyDescent="0.25">
      <c r="A14" t="s">
        <v>19</v>
      </c>
      <c r="B14" s="1">
        <v>287021</v>
      </c>
      <c r="C14" s="1">
        <v>554119</v>
      </c>
      <c r="D14" s="1">
        <v>16404</v>
      </c>
      <c r="E14">
        <v>407</v>
      </c>
      <c r="F14" s="1">
        <v>9983</v>
      </c>
      <c r="G14" s="1">
        <v>867934</v>
      </c>
      <c r="H14" s="1">
        <f>(Table1[[#This Row],[Total Votes]]*1.492537313)-Table1[[#This Row],[Total Votes]]</f>
        <v>427489.88022134197</v>
      </c>
      <c r="I14" s="1" t="str">
        <f>IF(Table1[[#This Row],[Democratic]]&gt;Table1[[#This Row],[Republican]],"D","R")</f>
        <v>R</v>
      </c>
      <c r="J14" s="3">
        <f t="shared" si="0"/>
        <v>0.47</v>
      </c>
      <c r="K14" s="3">
        <f t="shared" si="0"/>
        <v>0.81</v>
      </c>
      <c r="L14" s="3">
        <f t="shared" si="1"/>
        <v>7.0000000000000007E-2</v>
      </c>
      <c r="M14" s="1">
        <f>Table1[[#This Row],[Democratic]]*Table1[[#This Row],[% From Democrats]]</f>
        <v>134899.87</v>
      </c>
      <c r="N14" s="1">
        <f>Table1[[#This Row],[Republican]]*Table1[[#This Row],[% From Republicans]]</f>
        <v>448836.39</v>
      </c>
      <c r="O14" s="1">
        <f>(Table1[[#This Row],[Democratic]]-Table1[[#This Row],[New Democrat Vote]])+(Table1[[#This Row],[Republican]]-Table1[[#This Row],[New Republican Vote]])+(Table1[[#This Row],[Non Voters Voting Third Party]]*Table1[[#This Row],[Est. Non Voters]])</f>
        <v>287328.03161549394</v>
      </c>
      <c r="P14">
        <v>4</v>
      </c>
      <c r="Q14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14" s="4">
        <f>IF(Table1[[#This Row],[Winner2]]="D",Table1[[#This Row],[EV]],0)</f>
        <v>0</v>
      </c>
      <c r="S14" s="4">
        <f>IF(Table1[[#This Row],[Winner2]]="R",Table1[[#This Row],[EV]],"0")</f>
        <v>4</v>
      </c>
      <c r="T14" s="4" t="str">
        <f>IF(Table1[[#This Row],[Winner2]]="T",Table1[[#This Row],[EV]],"0")</f>
        <v>0</v>
      </c>
    </row>
    <row r="15" spans="1:24" x14ac:dyDescent="0.25">
      <c r="A15" t="s">
        <v>20</v>
      </c>
      <c r="B15" s="1">
        <v>3471915</v>
      </c>
      <c r="C15" s="1">
        <v>2446891</v>
      </c>
      <c r="D15" s="1">
        <v>66544</v>
      </c>
      <c r="E15" s="1">
        <v>30494</v>
      </c>
      <c r="F15" s="1">
        <v>17900</v>
      </c>
      <c r="G15" s="1">
        <v>6033744</v>
      </c>
      <c r="H15" s="1">
        <f>(Table1[[#This Row],[Total Votes]]*1.492537313)-Table1[[#This Row],[Total Votes]]</f>
        <v>2971844.0570898708</v>
      </c>
      <c r="I15" s="1" t="str">
        <f>IF(Table1[[#This Row],[Democratic]]&gt;Table1[[#This Row],[Republican]],"D","R")</f>
        <v>D</v>
      </c>
      <c r="J15" s="3">
        <f t="shared" si="0"/>
        <v>0.47</v>
      </c>
      <c r="K15" s="3">
        <f t="shared" si="0"/>
        <v>0.81</v>
      </c>
      <c r="L15" s="3">
        <f t="shared" si="1"/>
        <v>7.0000000000000007E-2</v>
      </c>
      <c r="M15" s="1">
        <f>Table1[[#This Row],[Democratic]]*Table1[[#This Row],[% From Democrats]]</f>
        <v>1631800.0499999998</v>
      </c>
      <c r="N15" s="1">
        <f>Table1[[#This Row],[Republican]]*Table1[[#This Row],[% From Republicans]]</f>
        <v>1981981.7100000002</v>
      </c>
      <c r="O15" s="1">
        <f>(Table1[[#This Row],[Democratic]]-Table1[[#This Row],[New Democrat Vote]])+(Table1[[#This Row],[Republican]]-Table1[[#This Row],[New Republican Vote]])+(Table1[[#This Row],[Non Voters Voting Third Party]]*Table1[[#This Row],[Est. Non Voters]])</f>
        <v>2513053.323996291</v>
      </c>
      <c r="P15">
        <v>20</v>
      </c>
      <c r="Q15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15" s="4">
        <f>IF(Table1[[#This Row],[Winner2]]="D",Table1[[#This Row],[EV]],0)</f>
        <v>0</v>
      </c>
      <c r="S15" s="4" t="str">
        <f>IF(Table1[[#This Row],[Winner2]]="R",Table1[[#This Row],[EV]],"0")</f>
        <v>0</v>
      </c>
      <c r="T15" s="4">
        <f>IF(Table1[[#This Row],[Winner2]]="T",Table1[[#This Row],[EV]],"0")</f>
        <v>20</v>
      </c>
    </row>
    <row r="16" spans="1:24" x14ac:dyDescent="0.25">
      <c r="A16" t="s">
        <v>21</v>
      </c>
      <c r="B16" s="1">
        <v>1242498</v>
      </c>
      <c r="C16" s="1">
        <v>1729857</v>
      </c>
      <c r="D16" s="1">
        <v>58901</v>
      </c>
      <c r="E16">
        <v>989</v>
      </c>
      <c r="F16">
        <v>965</v>
      </c>
      <c r="G16" s="1">
        <v>3033210</v>
      </c>
      <c r="H16" s="1">
        <f>(Table1[[#This Row],[Total Votes]]*1.492537313)-Table1[[#This Row],[Total Votes]]</f>
        <v>1493969.1031647297</v>
      </c>
      <c r="I16" s="1" t="str">
        <f>IF(Table1[[#This Row],[Democratic]]&gt;Table1[[#This Row],[Republican]],"D","R")</f>
        <v>R</v>
      </c>
      <c r="J16" s="3">
        <f t="shared" si="0"/>
        <v>0.47</v>
      </c>
      <c r="K16" s="3">
        <f t="shared" si="0"/>
        <v>0.81</v>
      </c>
      <c r="L16" s="3">
        <f t="shared" si="1"/>
        <v>7.0000000000000007E-2</v>
      </c>
      <c r="M16" s="1">
        <f>Table1[[#This Row],[Democratic]]*Table1[[#This Row],[% From Democrats]]</f>
        <v>583974.05999999994</v>
      </c>
      <c r="N16" s="1">
        <f>Table1[[#This Row],[Republican]]*Table1[[#This Row],[% From Republicans]]</f>
        <v>1401184.1700000002</v>
      </c>
      <c r="O16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1091774.607221531</v>
      </c>
      <c r="P16">
        <v>11</v>
      </c>
      <c r="Q16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16" s="4">
        <f>IF(Table1[[#This Row],[Winner2]]="D",Table1[[#This Row],[EV]],0)</f>
        <v>0</v>
      </c>
      <c r="S16" s="4">
        <f>IF(Table1[[#This Row],[Winner2]]="R",Table1[[#This Row],[EV]],"0")</f>
        <v>11</v>
      </c>
      <c r="T16" s="4" t="str">
        <f>IF(Table1[[#This Row],[Winner2]]="T",Table1[[#This Row],[EV]],"0")</f>
        <v>0</v>
      </c>
    </row>
    <row r="17" spans="1:24" x14ac:dyDescent="0.25">
      <c r="A17" t="s">
        <v>22</v>
      </c>
      <c r="B17" s="1">
        <v>759061</v>
      </c>
      <c r="C17" s="1">
        <v>897672</v>
      </c>
      <c r="D17" s="1">
        <v>19637</v>
      </c>
      <c r="E17" s="1">
        <v>3075</v>
      </c>
      <c r="F17" s="1">
        <v>11426</v>
      </c>
      <c r="G17" s="1">
        <v>1690871</v>
      </c>
      <c r="H17" s="1">
        <f>(Table1[[#This Row],[Total Votes]]*1.492537313)-Table1[[#This Row],[Total Votes]]</f>
        <v>832817.05896962294</v>
      </c>
      <c r="I17" s="1" t="str">
        <f>IF(Table1[[#This Row],[Democratic]]&gt;Table1[[#This Row],[Republican]],"D","R")</f>
        <v>R</v>
      </c>
      <c r="J17" s="3">
        <f t="shared" si="0"/>
        <v>0.47</v>
      </c>
      <c r="K17" s="3">
        <f t="shared" si="0"/>
        <v>0.81</v>
      </c>
      <c r="L17" s="3">
        <f t="shared" si="1"/>
        <v>7.0000000000000007E-2</v>
      </c>
      <c r="M17" s="1">
        <f>Table1[[#This Row],[Democratic]]*Table1[[#This Row],[% From Democrats]]</f>
        <v>356758.67</v>
      </c>
      <c r="N17" s="1">
        <f>Table1[[#This Row],[Republican]]*Table1[[#This Row],[% From Republicans]]</f>
        <v>727114.32000000007</v>
      </c>
      <c r="O17" s="1">
        <f>(Table1[[#This Row],[Democratic]]-Table1[[#This Row],[New Democrat Vote]])+(Table1[[#This Row],[Republican]]-Table1[[#This Row],[New Republican Vote]])+(Table1[[#This Row],[Non Voters Voting Third Party]]*Table1[[#This Row],[Est. Non Voters]])</f>
        <v>631157.20412787364</v>
      </c>
      <c r="P17">
        <v>6</v>
      </c>
      <c r="Q17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17" s="4">
        <f>IF(Table1[[#This Row],[Winner2]]="D",Table1[[#This Row],[EV]],0)</f>
        <v>0</v>
      </c>
      <c r="S17" s="4">
        <f>IF(Table1[[#This Row],[Winner2]]="R",Table1[[#This Row],[EV]],"0")</f>
        <v>6</v>
      </c>
      <c r="T17" s="4" t="str">
        <f>IF(Table1[[#This Row],[Winner2]]="T",Table1[[#This Row],[EV]],"0")</f>
        <v>0</v>
      </c>
    </row>
    <row r="18" spans="1:24" x14ac:dyDescent="0.25">
      <c r="A18" t="s">
        <v>23</v>
      </c>
      <c r="B18" s="1">
        <v>570323</v>
      </c>
      <c r="C18" s="1">
        <v>771406</v>
      </c>
      <c r="D18" s="1">
        <v>30574</v>
      </c>
      <c r="E18">
        <v>669</v>
      </c>
      <c r="F18" s="1">
        <v>1014</v>
      </c>
      <c r="G18" s="1">
        <v>1373986</v>
      </c>
      <c r="H18" s="1">
        <f>(Table1[[#This Row],[Total Votes]]*1.492537313)-Table1[[#This Row],[Total Votes]]</f>
        <v>676739.37253961782</v>
      </c>
      <c r="I18" s="1" t="str">
        <f>IF(Table1[[#This Row],[Democratic]]&gt;Table1[[#This Row],[Republican]],"D","R")</f>
        <v>R</v>
      </c>
      <c r="J18" s="3">
        <f t="shared" si="0"/>
        <v>0.47</v>
      </c>
      <c r="K18" s="3">
        <f t="shared" si="0"/>
        <v>0.81</v>
      </c>
      <c r="L18" s="3">
        <f t="shared" si="1"/>
        <v>7.0000000000000007E-2</v>
      </c>
      <c r="M18" s="1">
        <f>Table1[[#This Row],[Democratic]]*Table1[[#This Row],[% From Democrats]]</f>
        <v>268051.81</v>
      </c>
      <c r="N18" s="1">
        <f>Table1[[#This Row],[Republican]]*Table1[[#This Row],[% From Republicans]]</f>
        <v>624838.86</v>
      </c>
      <c r="O18" s="1">
        <f>(Table1[[#This Row],[Democratic]]-Table1[[#This Row],[New Democrat Vote]])+(Table1[[#This Row],[Republican]]-Table1[[#This Row],[New Republican Vote]])+(Table1[[#This Row],[Non Voters Voting Third Party]]*Table1[[#This Row],[Est. Non Voters]])</f>
        <v>496210.08607777325</v>
      </c>
      <c r="P18">
        <v>6</v>
      </c>
      <c r="Q18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18" s="4">
        <f>IF(Table1[[#This Row],[Winner2]]="D",Table1[[#This Row],[EV]],0)</f>
        <v>0</v>
      </c>
      <c r="S18" s="4">
        <f>IF(Table1[[#This Row],[Winner2]]="R",Table1[[#This Row],[EV]],"0")</f>
        <v>6</v>
      </c>
      <c r="T18" s="4" t="str">
        <f>IF(Table1[[#This Row],[Winner2]]="T",Table1[[#This Row],[EV]],"0")</f>
        <v>0</v>
      </c>
    </row>
    <row r="19" spans="1:24" x14ac:dyDescent="0.25">
      <c r="A19" t="s">
        <v>24</v>
      </c>
      <c r="B19" s="1">
        <v>772474</v>
      </c>
      <c r="C19" s="1">
        <v>1326646</v>
      </c>
      <c r="D19" s="1">
        <v>26234</v>
      </c>
      <c r="E19">
        <v>716</v>
      </c>
      <c r="F19" s="1">
        <v>10698</v>
      </c>
      <c r="G19" s="1">
        <v>2136768</v>
      </c>
      <c r="H19" s="1">
        <f>(Table1[[#This Row],[Total Votes]]*1.492537313)-Table1[[#This Row],[Total Votes]]</f>
        <v>1052437.9692243841</v>
      </c>
      <c r="I19" s="1" t="str">
        <f>IF(Table1[[#This Row],[Democratic]]&gt;Table1[[#This Row],[Republican]],"D","R")</f>
        <v>R</v>
      </c>
      <c r="J19" s="3">
        <f t="shared" si="0"/>
        <v>0.47</v>
      </c>
      <c r="K19" s="3">
        <f t="shared" si="0"/>
        <v>0.81</v>
      </c>
      <c r="L19" s="3">
        <f t="shared" si="1"/>
        <v>7.0000000000000007E-2</v>
      </c>
      <c r="M19" s="1">
        <f>Table1[[#This Row],[Democratic]]*Table1[[#This Row],[% From Democrats]]</f>
        <v>363062.77999999997</v>
      </c>
      <c r="N19" s="1">
        <f>Table1[[#This Row],[Republican]]*Table1[[#This Row],[% From Republicans]]</f>
        <v>1074583.26</v>
      </c>
      <c r="O19" s="1">
        <f>(Table1[[#This Row],[Democratic]]-Table1[[#This Row],[New Democrat Vote]])+(Table1[[#This Row],[Republican]]-Table1[[#This Row],[New Republican Vote]])+(Table1[[#This Row],[Non Voters Voting Third Party]]*Table1[[#This Row],[Est. Non Voters]])</f>
        <v>735144.61784570687</v>
      </c>
      <c r="P19">
        <v>8</v>
      </c>
      <c r="Q19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19" s="4">
        <f>IF(Table1[[#This Row],[Winner2]]="D",Table1[[#This Row],[EV]],0)</f>
        <v>0</v>
      </c>
      <c r="S19" s="4">
        <f>IF(Table1[[#This Row],[Winner2]]="R",Table1[[#This Row],[EV]],"0")</f>
        <v>8</v>
      </c>
      <c r="T19" s="4" t="str">
        <f>IF(Table1[[#This Row],[Winner2]]="T",Table1[[#This Row],[EV]],"0")</f>
        <v>0</v>
      </c>
    </row>
    <row r="20" spans="1:24" x14ac:dyDescent="0.25">
      <c r="A20" t="s">
        <v>25</v>
      </c>
      <c r="B20" s="1">
        <v>856034</v>
      </c>
      <c r="C20" s="1">
        <v>1255776</v>
      </c>
      <c r="D20" s="1">
        <v>21645</v>
      </c>
      <c r="F20" s="1">
        <v>14607</v>
      </c>
      <c r="G20" s="1">
        <v>2148062</v>
      </c>
      <c r="H20" s="1">
        <f>(Table1[[#This Row],[Total Votes]]*1.492537313)-Table1[[#This Row],[Total Votes]]</f>
        <v>1058000.6856374056</v>
      </c>
      <c r="I20" s="1" t="str">
        <f>IF(Table1[[#This Row],[Democratic]]&gt;Table1[[#This Row],[Republican]],"D","R")</f>
        <v>R</v>
      </c>
      <c r="J20" s="3">
        <f t="shared" si="0"/>
        <v>0.47</v>
      </c>
      <c r="K20" s="3">
        <f t="shared" si="0"/>
        <v>0.81</v>
      </c>
      <c r="L20" s="3">
        <f t="shared" si="1"/>
        <v>7.0000000000000007E-2</v>
      </c>
      <c r="M20" s="1">
        <f>Table1[[#This Row],[Democratic]]*Table1[[#This Row],[% From Democrats]]</f>
        <v>402335.98</v>
      </c>
      <c r="N20" s="1">
        <f>Table1[[#This Row],[Republican]]*Table1[[#This Row],[% From Republicans]]</f>
        <v>1017178.56</v>
      </c>
      <c r="O20" s="1">
        <f>(Table1[[#This Row],[Democratic]]-Table1[[#This Row],[New Democrat Vote]])+(Table1[[#This Row],[Republican]]-Table1[[#This Row],[New Republican Vote]])+(Table1[[#This Row],[Non Voters Voting Third Party]]*Table1[[#This Row],[Est. Non Voters]])</f>
        <v>766355.50799461838</v>
      </c>
      <c r="P20">
        <v>8</v>
      </c>
      <c r="Q20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20" s="4">
        <f>IF(Table1[[#This Row],[Winner2]]="D",Table1[[#This Row],[EV]],0)</f>
        <v>0</v>
      </c>
      <c r="S20" s="4">
        <f>IF(Table1[[#This Row],[Winner2]]="R",Table1[[#This Row],[EV]],"0")</f>
        <v>8</v>
      </c>
      <c r="T20" s="4" t="str">
        <f>IF(Table1[[#This Row],[Winner2]]="T",Table1[[#This Row],[EV]],"0")</f>
        <v>0</v>
      </c>
    </row>
    <row r="21" spans="1:24" x14ac:dyDescent="0.25">
      <c r="A21" t="s">
        <v>26</v>
      </c>
      <c r="B21" s="1">
        <v>435072</v>
      </c>
      <c r="C21" s="1">
        <v>360737</v>
      </c>
      <c r="D21" s="1">
        <v>14152</v>
      </c>
      <c r="E21" s="1">
        <v>8230</v>
      </c>
      <c r="F21" s="1">
        <v>1270</v>
      </c>
      <c r="G21" s="1">
        <v>819461</v>
      </c>
      <c r="H21" s="1">
        <f>(Table1[[#This Row],[Total Votes]]*1.492537313)-Table1[[#This Row],[Total Votes]]</f>
        <v>403615.11904829298</v>
      </c>
      <c r="I21" s="1" t="str">
        <f>IF(Table1[[#This Row],[Democratic]]&gt;Table1[[#This Row],[Republican]],"D","R")</f>
        <v>D</v>
      </c>
      <c r="J21" s="3">
        <f t="shared" si="0"/>
        <v>0.47</v>
      </c>
      <c r="K21" s="3">
        <f t="shared" si="0"/>
        <v>0.81</v>
      </c>
      <c r="L21" s="3">
        <f t="shared" si="1"/>
        <v>7.0000000000000007E-2</v>
      </c>
      <c r="M21" s="1">
        <f>Table1[[#This Row],[Democratic]]*Table1[[#This Row],[% From Democrats]]</f>
        <v>204483.84</v>
      </c>
      <c r="N21" s="1">
        <f>Table1[[#This Row],[Republican]]*Table1[[#This Row],[% From Republicans]]</f>
        <v>292196.97000000003</v>
      </c>
      <c r="O21" s="1">
        <f>(Table1[[#This Row],[Democratic]]-Table1[[#This Row],[New Democrat Vote]])+(Table1[[#This Row],[Republican]]-Table1[[#This Row],[New Republican Vote]])+(Table1[[#This Row],[Non Voters Voting Third Party]]*Table1[[#This Row],[Est. Non Voters]])</f>
        <v>327381.24833338044</v>
      </c>
      <c r="P21">
        <v>2</v>
      </c>
      <c r="Q21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21" s="4">
        <f>IF(Table1[[#This Row],[Winner2]]="D",Table1[[#This Row],[EV]],0)</f>
        <v>0</v>
      </c>
      <c r="S21" s="4" t="str">
        <f>IF(Table1[[#This Row],[Winner2]]="R",Table1[[#This Row],[EV]],"0")</f>
        <v>0</v>
      </c>
      <c r="T21" s="4">
        <f>IF(Table1[[#This Row],[Winner2]]="T",Table1[[#This Row],[EV]],"0")</f>
        <v>2</v>
      </c>
    </row>
    <row r="22" spans="1:24" x14ac:dyDescent="0.25">
      <c r="A22" t="s">
        <v>30</v>
      </c>
      <c r="B22" s="1">
        <v>2382202</v>
      </c>
      <c r="C22" s="1">
        <v>1167202</v>
      </c>
      <c r="D22" s="1">
        <v>47013</v>
      </c>
      <c r="E22" s="1">
        <v>18658</v>
      </c>
      <c r="F22" s="1">
        <v>16327</v>
      </c>
      <c r="G22" s="1">
        <v>3631402</v>
      </c>
      <c r="H22" s="1">
        <f>(Table1[[#This Row],[Total Votes]]*1.492537313)-Table1[[#This Row],[Total Votes]]</f>
        <v>1788600.9835028257</v>
      </c>
      <c r="I22" s="1" t="str">
        <f>IF(Table1[[#This Row],[Democratic]]&gt;Table1[[#This Row],[Republican]],"D","R")</f>
        <v>D</v>
      </c>
      <c r="J22" s="3">
        <f t="shared" si="0"/>
        <v>0.47</v>
      </c>
      <c r="K22" s="3">
        <f t="shared" si="0"/>
        <v>0.81</v>
      </c>
      <c r="L22" s="3">
        <f t="shared" si="1"/>
        <v>7.0000000000000007E-2</v>
      </c>
      <c r="M22" s="1">
        <f>Table1[[#This Row],[Democratic]]*Table1[[#This Row],[% From Democrats]]</f>
        <v>1119634.94</v>
      </c>
      <c r="N22" s="1">
        <f>Table1[[#This Row],[Republican]]*Table1[[#This Row],[% From Republicans]]</f>
        <v>945433.62000000011</v>
      </c>
      <c r="O22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1609537.5088451977</v>
      </c>
      <c r="P22">
        <v>11</v>
      </c>
      <c r="Q22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22" s="4">
        <f>IF(Table1[[#This Row],[Winner2]]="D",Table1[[#This Row],[EV]],0)</f>
        <v>0</v>
      </c>
      <c r="S22" s="4" t="str">
        <f>IF(Table1[[#This Row],[Winner2]]="R",Table1[[#This Row],[EV]],"0")</f>
        <v>0</v>
      </c>
      <c r="T22" s="4">
        <f>IF(Table1[[#This Row],[Winner2]]="T",Table1[[#This Row],[EV]],"0")</f>
        <v>11</v>
      </c>
    </row>
    <row r="23" spans="1:24" x14ac:dyDescent="0.25">
      <c r="A23" t="s">
        <v>29</v>
      </c>
      <c r="B23" s="1">
        <v>1985023</v>
      </c>
      <c r="C23" s="1">
        <v>976414</v>
      </c>
      <c r="D23" s="1">
        <v>33488</v>
      </c>
      <c r="E23" s="1">
        <v>15799</v>
      </c>
      <c r="F23" s="1">
        <v>26306</v>
      </c>
      <c r="G23" s="1">
        <v>3037030</v>
      </c>
      <c r="H23" s="1">
        <f>(Table1[[#This Row],[Total Votes]]*1.492537313)-Table1[[#This Row],[Total Votes]]</f>
        <v>1495850.5957003897</v>
      </c>
      <c r="I23" s="1" t="str">
        <f>IF(Table1[[#This Row],[Democratic]]&gt;Table1[[#This Row],[Republican]],"D","R")</f>
        <v>D</v>
      </c>
      <c r="J23" s="3">
        <f t="shared" si="0"/>
        <v>0.47</v>
      </c>
      <c r="K23" s="3">
        <f t="shared" si="0"/>
        <v>0.81</v>
      </c>
      <c r="L23" s="3">
        <f t="shared" si="1"/>
        <v>7.0000000000000007E-2</v>
      </c>
      <c r="M23" s="1">
        <f>Table1[[#This Row],[Democratic]]*Table1[[#This Row],[% From Democrats]]</f>
        <v>932960.80999999994</v>
      </c>
      <c r="N23" s="1">
        <f>Table1[[#This Row],[Republican]]*Table1[[#This Row],[% From Republicans]]</f>
        <v>790895.34000000008</v>
      </c>
      <c r="O23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1342290.3916990273</v>
      </c>
      <c r="P23">
        <v>10</v>
      </c>
      <c r="Q23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23" s="4">
        <f>IF(Table1[[#This Row],[Winner2]]="D",Table1[[#This Row],[EV]],0)</f>
        <v>0</v>
      </c>
      <c r="S23" s="4" t="str">
        <f>IF(Table1[[#This Row],[Winner2]]="R",Table1[[#This Row],[EV]],"0")</f>
        <v>0</v>
      </c>
      <c r="T23" s="4">
        <f>IF(Table1[[#This Row],[Winner2]]="T",Table1[[#This Row],[EV]],"0")</f>
        <v>10</v>
      </c>
    </row>
    <row r="24" spans="1:24" x14ac:dyDescent="0.25">
      <c r="A24" t="s">
        <v>27</v>
      </c>
      <c r="B24" s="1">
        <v>266376</v>
      </c>
      <c r="C24" s="1">
        <v>164045</v>
      </c>
      <c r="D24" s="1">
        <v>7343</v>
      </c>
      <c r="E24" s="1">
        <v>4654</v>
      </c>
      <c r="F24">
        <v>694</v>
      </c>
      <c r="G24" s="1">
        <v>443112</v>
      </c>
      <c r="H24" s="1">
        <f>(Table1[[#This Row],[Total Votes]]*1.492537313)-Table1[[#This Row],[Total Votes]]</f>
        <v>218249.19383805594</v>
      </c>
      <c r="I24" s="1" t="str">
        <f>IF(Table1[[#This Row],[Democratic]]&gt;Table1[[#This Row],[Republican]],"D","R")</f>
        <v>D</v>
      </c>
      <c r="J24" s="3">
        <f t="shared" si="0"/>
        <v>0.47</v>
      </c>
      <c r="K24" s="3">
        <f t="shared" si="0"/>
        <v>0.81</v>
      </c>
      <c r="L24" s="3">
        <f t="shared" si="1"/>
        <v>7.0000000000000007E-2</v>
      </c>
      <c r="M24" s="1">
        <f>Table1[[#This Row],[Democratic]]*Table1[[#This Row],[% From Democrats]]</f>
        <v>125196.71999999999</v>
      </c>
      <c r="N24" s="1">
        <f>Table1[[#This Row],[Republican]]*Table1[[#This Row],[% From Republicans]]</f>
        <v>132876.45000000001</v>
      </c>
      <c r="O24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187625.27356866392</v>
      </c>
      <c r="P24">
        <v>1</v>
      </c>
      <c r="Q24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24" s="4">
        <f>IF(Table1[[#This Row],[Winner2]]="D",Table1[[#This Row],[EV]],0)</f>
        <v>0</v>
      </c>
      <c r="S24" s="4" t="str">
        <f>IF(Table1[[#This Row],[Winner2]]="R",Table1[[#This Row],[EV]],"0")</f>
        <v>0</v>
      </c>
      <c r="T24" s="4">
        <f>IF(Table1[[#This Row],[Winner2]]="T",Table1[[#This Row],[EV]],"0")</f>
        <v>1</v>
      </c>
    </row>
    <row r="25" spans="1:24" x14ac:dyDescent="0.25">
      <c r="A25" t="s">
        <v>28</v>
      </c>
      <c r="B25" s="1">
        <v>168696</v>
      </c>
      <c r="C25" s="1">
        <v>196692</v>
      </c>
      <c r="D25" s="1">
        <v>6809</v>
      </c>
      <c r="E25" s="1">
        <v>3576</v>
      </c>
      <c r="F25">
        <v>576</v>
      </c>
      <c r="G25" s="1">
        <v>376349</v>
      </c>
      <c r="H25" s="1">
        <f>(Table1[[#This Row],[Total Votes]]*1.492537313)-Table1[[#This Row],[Total Votes]]</f>
        <v>185365.92521023692</v>
      </c>
      <c r="I25" s="1" t="str">
        <f>IF(Table1[[#This Row],[Democratic]]&gt;Table1[[#This Row],[Republican]],"D","R")</f>
        <v>R</v>
      </c>
      <c r="J25" s="3">
        <f t="shared" si="0"/>
        <v>0.47</v>
      </c>
      <c r="K25" s="3">
        <f t="shared" si="0"/>
        <v>0.81</v>
      </c>
      <c r="L25" s="3">
        <f t="shared" si="1"/>
        <v>7.0000000000000007E-2</v>
      </c>
      <c r="M25" s="1">
        <f>Table1[[#This Row],[Democratic]]*Table1[[#This Row],[% From Democrats]]</f>
        <v>79287.12</v>
      </c>
      <c r="N25" s="1">
        <f>Table1[[#This Row],[Republican]]*Table1[[#This Row],[% From Republicans]]</f>
        <v>159320.52000000002</v>
      </c>
      <c r="O25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139755.97476471658</v>
      </c>
      <c r="P25">
        <v>1</v>
      </c>
      <c r="Q25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25" s="4">
        <f>IF(Table1[[#This Row],[Winner2]]="D",Table1[[#This Row],[EV]],0)</f>
        <v>0</v>
      </c>
      <c r="S25" s="4">
        <f>IF(Table1[[#This Row],[Winner2]]="R",Table1[[#This Row],[EV]],"0")</f>
        <v>1</v>
      </c>
      <c r="T25" s="4" t="str">
        <f>IF(Table1[[#This Row],[Winner2]]="T",Table1[[#This Row],[EV]],"0")</f>
        <v>0</v>
      </c>
    </row>
    <row r="26" spans="1:24" x14ac:dyDescent="0.25">
      <c r="A26" t="s">
        <v>31</v>
      </c>
      <c r="B26" s="1">
        <v>2804040</v>
      </c>
      <c r="C26" s="1">
        <v>2649852</v>
      </c>
      <c r="D26" s="1">
        <v>60381</v>
      </c>
      <c r="E26" s="1">
        <v>13718</v>
      </c>
      <c r="F26" s="1">
        <v>11311</v>
      </c>
      <c r="G26" s="1">
        <v>5539302</v>
      </c>
      <c r="H26" s="1">
        <f>(Table1[[#This Row],[Total Votes]]*1.492537313)-Table1[[#This Row],[Total Votes]]</f>
        <v>2728312.9229755253</v>
      </c>
      <c r="I26" s="1" t="str">
        <f>IF(Table1[[#This Row],[Democratic]]&gt;Table1[[#This Row],[Republican]],"D","R")</f>
        <v>D</v>
      </c>
      <c r="J26" s="3">
        <f t="shared" si="0"/>
        <v>0.47</v>
      </c>
      <c r="K26" s="3">
        <f t="shared" si="0"/>
        <v>0.81</v>
      </c>
      <c r="L26" s="3">
        <f t="shared" si="1"/>
        <v>7.0000000000000007E-2</v>
      </c>
      <c r="M26" s="1">
        <f>Table1[[#This Row],[Democratic]]*Table1[[#This Row],[% From Democrats]]</f>
        <v>1317898.7999999998</v>
      </c>
      <c r="N26" s="1">
        <f>Table1[[#This Row],[Republican]]*Table1[[#This Row],[% From Republicans]]</f>
        <v>2146380.12</v>
      </c>
      <c r="O26" s="1">
        <f>(Table1[[#This Row],[Democratic]]-Table1[[#This Row],[New Democrat Vote]])+(Table1[[#This Row],[Republican]]-Table1[[#This Row],[New Republican Vote]])+(Table1[[#This Row],[Non Voters Voting Third Party]]*Table1[[#This Row],[Est. Non Voters]])</f>
        <v>2180594.984608287</v>
      </c>
      <c r="P26">
        <v>16</v>
      </c>
      <c r="Q26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26" s="4">
        <f>IF(Table1[[#This Row],[Winner2]]="D",Table1[[#This Row],[EV]],0)</f>
        <v>0</v>
      </c>
      <c r="S26" s="4" t="str">
        <f>IF(Table1[[#This Row],[Winner2]]="R",Table1[[#This Row],[EV]],"0")</f>
        <v>0</v>
      </c>
      <c r="T26" s="4">
        <f>IF(Table1[[#This Row],[Winner2]]="T",Table1[[#This Row],[EV]],"0")</f>
        <v>16</v>
      </c>
      <c r="X26" t="s">
        <v>87</v>
      </c>
    </row>
    <row r="27" spans="1:24" x14ac:dyDescent="0.25">
      <c r="A27" t="s">
        <v>32</v>
      </c>
      <c r="B27" s="1">
        <v>1717077</v>
      </c>
      <c r="C27" s="1">
        <v>1484065</v>
      </c>
      <c r="D27" s="1">
        <v>34976</v>
      </c>
      <c r="E27" s="1">
        <v>10033</v>
      </c>
      <c r="F27" s="1">
        <v>31020</v>
      </c>
      <c r="G27" s="1">
        <v>3277171</v>
      </c>
      <c r="H27" s="1">
        <f>(Table1[[#This Row],[Total Votes]]*1.492537313)-Table1[[#This Row],[Total Votes]]</f>
        <v>1614128.9985815231</v>
      </c>
      <c r="I27" s="1" t="str">
        <f>IF(Table1[[#This Row],[Democratic]]&gt;Table1[[#This Row],[Republican]],"D","R")</f>
        <v>D</v>
      </c>
      <c r="J27" s="3">
        <f t="shared" si="0"/>
        <v>0.47</v>
      </c>
      <c r="K27" s="3">
        <f t="shared" si="0"/>
        <v>0.81</v>
      </c>
      <c r="L27" s="3">
        <f t="shared" si="1"/>
        <v>7.0000000000000007E-2</v>
      </c>
      <c r="M27" s="1">
        <f>Table1[[#This Row],[Democratic]]*Table1[[#This Row],[% From Democrats]]</f>
        <v>807026.19</v>
      </c>
      <c r="N27" s="1">
        <f>Table1[[#This Row],[Republican]]*Table1[[#This Row],[% From Republicans]]</f>
        <v>1202092.6500000001</v>
      </c>
      <c r="O27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1305012.1899007065</v>
      </c>
      <c r="P27">
        <v>10</v>
      </c>
      <c r="Q27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27" s="4">
        <f>IF(Table1[[#This Row],[Winner2]]="D",Table1[[#This Row],[EV]],0)</f>
        <v>0</v>
      </c>
      <c r="S27" s="4" t="str">
        <f>IF(Table1[[#This Row],[Winner2]]="R",Table1[[#This Row],[EV]],"0")</f>
        <v>0</v>
      </c>
      <c r="T27" s="4">
        <f>IF(Table1[[#This Row],[Winner2]]="T",Table1[[#This Row],[EV]],"0")</f>
        <v>10</v>
      </c>
    </row>
    <row r="28" spans="1:24" x14ac:dyDescent="0.25">
      <c r="A28" t="s">
        <v>33</v>
      </c>
      <c r="B28" s="1">
        <v>539398</v>
      </c>
      <c r="C28" s="1">
        <v>756764</v>
      </c>
      <c r="D28" s="1">
        <v>8026</v>
      </c>
      <c r="E28" s="1">
        <v>1498</v>
      </c>
      <c r="F28" s="1">
        <v>8073</v>
      </c>
      <c r="G28" s="1">
        <v>1313759</v>
      </c>
      <c r="H28" s="1">
        <f>(Table1[[#This Row],[Total Votes]]*1.492537313)-Table1[[#This Row],[Total Votes]]</f>
        <v>647075.32778956695</v>
      </c>
      <c r="I28" s="1" t="str">
        <f>IF(Table1[[#This Row],[Democratic]]&gt;Table1[[#This Row],[Republican]],"D","R")</f>
        <v>R</v>
      </c>
      <c r="J28" s="3">
        <f t="shared" si="0"/>
        <v>0.47</v>
      </c>
      <c r="K28" s="3">
        <f t="shared" si="0"/>
        <v>0.81</v>
      </c>
      <c r="L28" s="3">
        <f t="shared" si="1"/>
        <v>7.0000000000000007E-2</v>
      </c>
      <c r="M28" s="1">
        <f>Table1[[#This Row],[Democratic]]*Table1[[#This Row],[% From Democrats]]</f>
        <v>253517.06</v>
      </c>
      <c r="N28" s="1">
        <f>Table1[[#This Row],[Republican]]*Table1[[#This Row],[% From Republicans]]</f>
        <v>612978.84000000008</v>
      </c>
      <c r="O28" s="1">
        <f>(Table1[[#This Row],[Democratic]]-Table1[[#This Row],[New Democrat Vote]])+(Table1[[#This Row],[Republican]]-Table1[[#This Row],[New Republican Vote]])+(Table1[[#This Row],[Non Voters Voting Third Party]]*Table1[[#This Row],[Est. Non Voters]])</f>
        <v>474961.37294526963</v>
      </c>
      <c r="P28">
        <v>6</v>
      </c>
      <c r="Q28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28" s="4">
        <f>IF(Table1[[#This Row],[Winner2]]="D",Table1[[#This Row],[EV]],0)</f>
        <v>0</v>
      </c>
      <c r="S28" s="4">
        <f>IF(Table1[[#This Row],[Winner2]]="R",Table1[[#This Row],[EV]],"0")</f>
        <v>6</v>
      </c>
      <c r="T28" s="4" t="str">
        <f>IF(Table1[[#This Row],[Winner2]]="T",Table1[[#This Row],[EV]],"0")</f>
        <v>0</v>
      </c>
    </row>
    <row r="29" spans="1:24" x14ac:dyDescent="0.25">
      <c r="A29" t="s">
        <v>34</v>
      </c>
      <c r="B29" s="1">
        <v>1253014</v>
      </c>
      <c r="C29" s="1">
        <v>1718736</v>
      </c>
      <c r="D29" s="1">
        <v>41205</v>
      </c>
      <c r="E29" s="1">
        <v>8283</v>
      </c>
      <c r="F29" s="1">
        <v>4724</v>
      </c>
      <c r="G29" s="1">
        <v>3025962</v>
      </c>
      <c r="H29" s="1">
        <f>(Table1[[#This Row],[Total Votes]]*1.492537313)-Table1[[#This Row],[Total Votes]]</f>
        <v>1490399.1927201059</v>
      </c>
      <c r="I29" s="1" t="str">
        <f>IF(Table1[[#This Row],[Democratic]]&gt;Table1[[#This Row],[Republican]],"D","R")</f>
        <v>R</v>
      </c>
      <c r="J29" s="3">
        <f t="shared" si="0"/>
        <v>0.47</v>
      </c>
      <c r="K29" s="3">
        <f t="shared" si="0"/>
        <v>0.81</v>
      </c>
      <c r="L29" s="3">
        <f t="shared" si="1"/>
        <v>7.0000000000000007E-2</v>
      </c>
      <c r="M29" s="1">
        <f>Table1[[#This Row],[Democratic]]*Table1[[#This Row],[% From Democrats]]</f>
        <v>588916.57999999996</v>
      </c>
      <c r="N29" s="1">
        <f>Table1[[#This Row],[Republican]]*Table1[[#This Row],[% From Republicans]]</f>
        <v>1392176.1600000001</v>
      </c>
      <c r="O29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1094985.2034904072</v>
      </c>
      <c r="P29">
        <v>10</v>
      </c>
      <c r="Q29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29" s="4">
        <f>IF(Table1[[#This Row],[Winner2]]="D",Table1[[#This Row],[EV]],0)</f>
        <v>0</v>
      </c>
      <c r="S29" s="4">
        <f>IF(Table1[[#This Row],[Winner2]]="R",Table1[[#This Row],[EV]],"0")</f>
        <v>10</v>
      </c>
      <c r="T29" s="4" t="str">
        <f>IF(Table1[[#This Row],[Winner2]]="T",Table1[[#This Row],[EV]],"0")</f>
        <v>0</v>
      </c>
    </row>
    <row r="30" spans="1:24" x14ac:dyDescent="0.25">
      <c r="A30" t="s">
        <v>35</v>
      </c>
      <c r="B30" s="1">
        <v>244786</v>
      </c>
      <c r="C30" s="1">
        <v>343602</v>
      </c>
      <c r="D30" s="1">
        <v>15252</v>
      </c>
      <c r="F30">
        <v>34</v>
      </c>
      <c r="G30" s="1">
        <v>603674</v>
      </c>
      <c r="H30" s="1">
        <f>(Table1[[#This Row],[Total Votes]]*1.492537313)-Table1[[#This Row],[Total Votes]]</f>
        <v>297331.96988796198</v>
      </c>
      <c r="I30" s="1" t="str">
        <f>IF(Table1[[#This Row],[Democratic]]&gt;Table1[[#This Row],[Republican]],"D","R")</f>
        <v>R</v>
      </c>
      <c r="J30" s="3">
        <f t="shared" si="0"/>
        <v>0.47</v>
      </c>
      <c r="K30" s="3">
        <f t="shared" si="0"/>
        <v>0.81</v>
      </c>
      <c r="L30" s="3">
        <f t="shared" si="1"/>
        <v>7.0000000000000007E-2</v>
      </c>
      <c r="M30" s="1">
        <f>Table1[[#This Row],[Democratic]]*Table1[[#This Row],[% From Democrats]]</f>
        <v>115049.42</v>
      </c>
      <c r="N30" s="1">
        <f>Table1[[#This Row],[Republican]]*Table1[[#This Row],[% From Republicans]]</f>
        <v>278317.62</v>
      </c>
      <c r="O30" s="1">
        <f>(Table1[[#This Row],[Democratic]]-Table1[[#This Row],[New Democrat Vote]])+(Table1[[#This Row],[Republican]]-Table1[[#This Row],[New Republican Vote]])+(Table1[[#This Row],[Non Voters Voting Third Party]]*Table1[[#This Row],[Est. Non Voters]])</f>
        <v>215834.19789215736</v>
      </c>
      <c r="P30">
        <v>3</v>
      </c>
      <c r="Q30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30" s="4">
        <f>IF(Table1[[#This Row],[Winner2]]="D",Table1[[#This Row],[EV]],0)</f>
        <v>0</v>
      </c>
      <c r="S30" s="4">
        <f>IF(Table1[[#This Row],[Winner2]]="R",Table1[[#This Row],[EV]],"0")</f>
        <v>3</v>
      </c>
      <c r="T30" s="4" t="str">
        <f>IF(Table1[[#This Row],[Winner2]]="T",Table1[[#This Row],[EV]],"0")</f>
        <v>0</v>
      </c>
    </row>
    <row r="31" spans="1:24" x14ac:dyDescent="0.25">
      <c r="A31" t="s">
        <v>45</v>
      </c>
      <c r="B31" s="1">
        <v>2684292</v>
      </c>
      <c r="C31" s="1">
        <v>2758775</v>
      </c>
      <c r="D31" s="1">
        <v>48678</v>
      </c>
      <c r="E31" s="1">
        <v>12195</v>
      </c>
      <c r="F31" s="1">
        <v>20864</v>
      </c>
      <c r="G31" s="1">
        <v>5524804</v>
      </c>
      <c r="H31" s="1">
        <f>(Table1[[#This Row],[Total Votes]]*1.492537313)-Table1[[#This Row],[Total Votes]]</f>
        <v>2721172.1170116514</v>
      </c>
      <c r="I31" s="1" t="str">
        <f>IF(Table1[[#This Row],[Democratic]]&gt;Table1[[#This Row],[Republican]],"D","R")</f>
        <v>R</v>
      </c>
      <c r="J31" s="3">
        <f t="shared" si="0"/>
        <v>0.47</v>
      </c>
      <c r="K31" s="3">
        <f t="shared" si="0"/>
        <v>0.81</v>
      </c>
      <c r="L31" s="3">
        <f t="shared" si="1"/>
        <v>7.0000000000000007E-2</v>
      </c>
      <c r="M31" s="1">
        <f>Table1[[#This Row],[Democratic]]*Table1[[#This Row],[% From Democrats]]</f>
        <v>1261617.24</v>
      </c>
      <c r="N31" s="1">
        <f>Table1[[#This Row],[Republican]]*Table1[[#This Row],[% From Republicans]]</f>
        <v>2234607.75</v>
      </c>
      <c r="O31" s="1">
        <f>(Table1[[#This Row],[Democratic]]-Table1[[#This Row],[New Democrat Vote]])+(Table1[[#This Row],[Republican]]-Table1[[#This Row],[New Republican Vote]])+(Table1[[#This Row],[Non Voters Voting Third Party]]*Table1[[#This Row],[Est. Non Voters]])</f>
        <v>2137324.0581908156</v>
      </c>
      <c r="P31">
        <v>15</v>
      </c>
      <c r="Q31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31" s="4">
        <f>IF(Table1[[#This Row],[Winner2]]="D",Table1[[#This Row],[EV]],0)</f>
        <v>0</v>
      </c>
      <c r="S31" s="4">
        <f>IF(Table1[[#This Row],[Winner2]]="R",Table1[[#This Row],[EV]],"0")</f>
        <v>15</v>
      </c>
      <c r="T31" s="4" t="str">
        <f>IF(Table1[[#This Row],[Winner2]]="T",Table1[[#This Row],[EV]],"0")</f>
        <v>0</v>
      </c>
    </row>
    <row r="32" spans="1:24" x14ac:dyDescent="0.25">
      <c r="A32" t="s">
        <v>46</v>
      </c>
      <c r="B32" s="1">
        <v>115042</v>
      </c>
      <c r="C32" s="1">
        <v>235751</v>
      </c>
      <c r="D32" s="1">
        <v>9371</v>
      </c>
      <c r="F32" s="1">
        <v>1860</v>
      </c>
      <c r="G32" s="1">
        <v>362024</v>
      </c>
      <c r="H32" s="1">
        <f>(Table1[[#This Row],[Total Votes]]*1.492537313)-Table1[[#This Row],[Total Votes]]</f>
        <v>178310.32820151199</v>
      </c>
      <c r="I32" s="1" t="str">
        <f>IF(Table1[[#This Row],[Democratic]]&gt;Table1[[#This Row],[Republican]],"D","R")</f>
        <v>R</v>
      </c>
      <c r="J32" s="3">
        <f t="shared" si="0"/>
        <v>0.47</v>
      </c>
      <c r="K32" s="3">
        <f t="shared" si="0"/>
        <v>0.81</v>
      </c>
      <c r="L32" s="3">
        <f t="shared" si="1"/>
        <v>7.0000000000000007E-2</v>
      </c>
      <c r="M32" s="1">
        <f>Table1[[#This Row],[Democratic]]*Table1[[#This Row],[% From Democrats]]</f>
        <v>54069.74</v>
      </c>
      <c r="N32" s="1">
        <f>Table1[[#This Row],[Republican]]*Table1[[#This Row],[% From Republicans]]</f>
        <v>190958.31000000003</v>
      </c>
      <c r="O32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118246.67297410582</v>
      </c>
      <c r="P32">
        <v>3</v>
      </c>
      <c r="Q32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32" s="4">
        <f>IF(Table1[[#This Row],[Winner2]]="D",Table1[[#This Row],[EV]],0)</f>
        <v>0</v>
      </c>
      <c r="S32" s="4">
        <f>IF(Table1[[#This Row],[Winner2]]="R",Table1[[#This Row],[EV]],"0")</f>
        <v>3</v>
      </c>
      <c r="T32" s="4" t="str">
        <f>IF(Table1[[#This Row],[Winner2]]="T",Table1[[#This Row],[EV]],"0")</f>
        <v>0</v>
      </c>
    </row>
    <row r="33" spans="1:20" x14ac:dyDescent="0.25">
      <c r="A33" t="s">
        <v>41</v>
      </c>
      <c r="B33" s="1">
        <v>424937</v>
      </c>
      <c r="C33" s="1">
        <v>365660</v>
      </c>
      <c r="D33" s="1">
        <v>13236</v>
      </c>
      <c r="E33">
        <v>217</v>
      </c>
      <c r="F33" s="1">
        <v>2155</v>
      </c>
      <c r="G33" s="1">
        <v>806205</v>
      </c>
      <c r="H33" s="1">
        <f>(Table1[[#This Row],[Total Votes]]*1.492537313)-Table1[[#This Row],[Total Votes]]</f>
        <v>397086.04442716483</v>
      </c>
      <c r="I33" s="1" t="str">
        <f>IF(Table1[[#This Row],[Democratic]]&gt;Table1[[#This Row],[Republican]],"D","R")</f>
        <v>D</v>
      </c>
      <c r="J33" s="3">
        <f t="shared" si="0"/>
        <v>0.47</v>
      </c>
      <c r="K33" s="3">
        <f t="shared" si="0"/>
        <v>0.81</v>
      </c>
      <c r="L33" s="3">
        <f t="shared" si="1"/>
        <v>7.0000000000000007E-2</v>
      </c>
      <c r="M33" s="1">
        <f>Table1[[#This Row],[Democratic]]*Table1[[#This Row],[% From Democrats]]</f>
        <v>199720.38999999998</v>
      </c>
      <c r="N33" s="1">
        <f>Table1[[#This Row],[Republican]]*Table1[[#This Row],[% From Republicans]]</f>
        <v>296184.60000000003</v>
      </c>
      <c r="O33" s="1">
        <f>(Table1[[#This Row],[Democratic]]-Table1[[#This Row],[New Democrat Vote]])+(Table1[[#This Row],[Republican]]-Table1[[#This Row],[New Republican Vote]])+(Table1[[#This Row],[Non Voters Voting Third Party]]*Table1[[#This Row],[Est. Non Voters]])</f>
        <v>322488.03310990153</v>
      </c>
      <c r="P33">
        <v>4</v>
      </c>
      <c r="Q33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33" s="4">
        <f>IF(Table1[[#This Row],[Winner2]]="D",Table1[[#This Row],[EV]],0)</f>
        <v>0</v>
      </c>
      <c r="S33" s="4" t="str">
        <f>IF(Table1[[#This Row],[Winner2]]="R",Table1[[#This Row],[EV]],"0")</f>
        <v>0</v>
      </c>
      <c r="T33" s="4">
        <f>IF(Table1[[#This Row],[Winner2]]="T",Table1[[#This Row],[EV]],"0")</f>
        <v>4</v>
      </c>
    </row>
    <row r="34" spans="1:20" x14ac:dyDescent="0.25">
      <c r="A34" t="s">
        <v>42</v>
      </c>
      <c r="B34" s="1">
        <v>2608400</v>
      </c>
      <c r="C34" s="1">
        <v>1883313</v>
      </c>
      <c r="D34" s="1">
        <v>31677</v>
      </c>
      <c r="E34" s="1">
        <v>14202</v>
      </c>
      <c r="F34" s="1">
        <v>11865</v>
      </c>
      <c r="G34" s="1">
        <v>4549457</v>
      </c>
      <c r="H34" s="1">
        <f>(Table1[[#This Row],[Total Votes]]*1.492537313)-Table1[[#This Row],[Total Votes]]</f>
        <v>2240777.3263890408</v>
      </c>
      <c r="I34" s="1" t="str">
        <f>IF(Table1[[#This Row],[Democratic]]&gt;Table1[[#This Row],[Republican]],"D","R")</f>
        <v>D</v>
      </c>
      <c r="J34" s="3">
        <f t="shared" si="0"/>
        <v>0.47</v>
      </c>
      <c r="K34" s="3">
        <f t="shared" si="0"/>
        <v>0.81</v>
      </c>
      <c r="L34" s="3">
        <f t="shared" si="1"/>
        <v>7.0000000000000007E-2</v>
      </c>
      <c r="M34" s="1">
        <f>Table1[[#This Row],[Democratic]]*Table1[[#This Row],[% From Democrats]]</f>
        <v>1225948</v>
      </c>
      <c r="N34" s="1">
        <f>Table1[[#This Row],[Republican]]*Table1[[#This Row],[% From Republicans]]</f>
        <v>1525483.53</v>
      </c>
      <c r="O34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1897135.8828472327</v>
      </c>
      <c r="P34">
        <v>14</v>
      </c>
      <c r="Q34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34" s="4">
        <f>IF(Table1[[#This Row],[Winner2]]="D",Table1[[#This Row],[EV]],0)</f>
        <v>0</v>
      </c>
      <c r="S34" s="4" t="str">
        <f>IF(Table1[[#This Row],[Winner2]]="R",Table1[[#This Row],[EV]],"0")</f>
        <v>0</v>
      </c>
      <c r="T34" s="4">
        <f>IF(Table1[[#This Row],[Winner2]]="T",Table1[[#This Row],[EV]],"0")</f>
        <v>14</v>
      </c>
    </row>
    <row r="35" spans="1:20" x14ac:dyDescent="0.25">
      <c r="A35" t="s">
        <v>43</v>
      </c>
      <c r="B35" s="1">
        <v>501614</v>
      </c>
      <c r="C35" s="1">
        <v>401894</v>
      </c>
      <c r="D35" s="1">
        <v>12585</v>
      </c>
      <c r="E35" s="1">
        <v>4426</v>
      </c>
      <c r="F35" s="1">
        <v>3446</v>
      </c>
      <c r="G35" s="1">
        <v>923965</v>
      </c>
      <c r="H35" s="1">
        <f>(Table1[[#This Row],[Total Votes]]*1.492537313)-Table1[[#This Row],[Total Votes]]</f>
        <v>455087.2384060449</v>
      </c>
      <c r="I35" s="1" t="str">
        <f>IF(Table1[[#This Row],[Democratic]]&gt;Table1[[#This Row],[Republican]],"D","R")</f>
        <v>D</v>
      </c>
      <c r="J35" s="3">
        <f t="shared" si="0"/>
        <v>0.47</v>
      </c>
      <c r="K35" s="3">
        <f t="shared" si="0"/>
        <v>0.81</v>
      </c>
      <c r="L35" s="3">
        <f t="shared" si="1"/>
        <v>7.0000000000000007E-2</v>
      </c>
      <c r="M35" s="1">
        <f>Table1[[#This Row],[Democratic]]*Table1[[#This Row],[% From Democrats]]</f>
        <v>235758.58</v>
      </c>
      <c r="N35" s="1">
        <f>Table1[[#This Row],[Republican]]*Table1[[#This Row],[% From Republicans]]</f>
        <v>325534.14</v>
      </c>
      <c r="O35" s="1">
        <f>(Table1[[#This Row],[Democratic]]-Table1[[#This Row],[New Democrat Vote]])+(Table1[[#This Row],[Republican]]-Table1[[#This Row],[New Republican Vote]])+(Table1[[#This Row],[Non Voters Voting Third Party]]*Table1[[#This Row],[Est. Non Voters]])</f>
        <v>374071.38668842317</v>
      </c>
      <c r="P35">
        <v>5</v>
      </c>
      <c r="Q35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35" s="4">
        <f>IF(Table1[[#This Row],[Winner2]]="D",Table1[[#This Row],[EV]],0)</f>
        <v>0</v>
      </c>
      <c r="S35" s="4" t="str">
        <f>IF(Table1[[#This Row],[Winner2]]="R",Table1[[#This Row],[EV]],"0")</f>
        <v>0</v>
      </c>
      <c r="T35" s="4">
        <f>IF(Table1[[#This Row],[Winner2]]="T",Table1[[#This Row],[EV]],"0")</f>
        <v>5</v>
      </c>
    </row>
    <row r="36" spans="1:20" x14ac:dyDescent="0.25">
      <c r="A36" t="s">
        <v>44</v>
      </c>
      <c r="B36" s="1">
        <v>5244886</v>
      </c>
      <c r="C36" s="1">
        <v>3251997</v>
      </c>
      <c r="D36" s="1">
        <v>60383</v>
      </c>
      <c r="E36" s="1">
        <v>32832</v>
      </c>
      <c r="F36" s="1">
        <v>26763</v>
      </c>
      <c r="G36" s="1">
        <v>8616861</v>
      </c>
      <c r="H36" s="1">
        <f>(Table1[[#This Row],[Total Votes]]*1.492537313)-Table1[[#This Row],[Total Votes]]</f>
        <v>4244125.5634344928</v>
      </c>
      <c r="I36" s="1" t="str">
        <f>IF(Table1[[#This Row],[Democratic]]&gt;Table1[[#This Row],[Republican]],"D","R")</f>
        <v>D</v>
      </c>
      <c r="J36" s="3">
        <f t="shared" si="0"/>
        <v>0.47</v>
      </c>
      <c r="K36" s="3">
        <f t="shared" si="0"/>
        <v>0.81</v>
      </c>
      <c r="L36" s="3">
        <f t="shared" si="1"/>
        <v>7.0000000000000007E-2</v>
      </c>
      <c r="M36" s="1">
        <f>Table1[[#This Row],[Democratic]]*Table1[[#This Row],[% From Democrats]]</f>
        <v>2465096.42</v>
      </c>
      <c r="N36" s="1">
        <f>Table1[[#This Row],[Republican]]*Table1[[#This Row],[% From Republicans]]</f>
        <v>2634117.5700000003</v>
      </c>
      <c r="O36" s="1">
        <f>(Table1[[#This Row],[Democratic]]-Table1[[#This Row],[New Democrat Vote]])+(Table1[[#This Row],[Republican]]-Table1[[#This Row],[New Republican Vote]])+(Table1[[#This Row],[Non Voters Voting Third Party]]*Table1[[#This Row],[Est. Non Voters]])</f>
        <v>3694757.7994404142</v>
      </c>
      <c r="P36">
        <v>29</v>
      </c>
      <c r="Q36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36" s="4">
        <f>IF(Table1[[#This Row],[Winner2]]="D",Table1[[#This Row],[EV]],0)</f>
        <v>0</v>
      </c>
      <c r="S36" s="4" t="str">
        <f>IF(Table1[[#This Row],[Winner2]]="R",Table1[[#This Row],[EV]],"0")</f>
        <v>0</v>
      </c>
      <c r="T36" s="4">
        <f>IF(Table1[[#This Row],[Winner2]]="T",Table1[[#This Row],[EV]],"0")</f>
        <v>29</v>
      </c>
    </row>
    <row r="37" spans="1:20" x14ac:dyDescent="0.25">
      <c r="A37" t="s">
        <v>37</v>
      </c>
      <c r="B37" s="1">
        <v>132261</v>
      </c>
      <c r="C37" s="1">
        <v>180290</v>
      </c>
      <c r="D37" s="1">
        <v>7495</v>
      </c>
      <c r="F37" s="1">
        <v>1840</v>
      </c>
      <c r="G37" s="1">
        <v>321886</v>
      </c>
      <c r="H37" s="1">
        <f>(Table1[[#This Row],[Total Votes]]*1.492537313)-Table1[[#This Row],[Total Votes]]</f>
        <v>158540.86553231796</v>
      </c>
      <c r="I37" s="1" t="str">
        <f>IF(Table1[[#This Row],[Democratic]]&gt;Table1[[#This Row],[Republican]],"D","R")</f>
        <v>R</v>
      </c>
      <c r="J37" s="3">
        <f t="shared" si="0"/>
        <v>0.47</v>
      </c>
      <c r="K37" s="3">
        <f t="shared" si="0"/>
        <v>0.81</v>
      </c>
      <c r="L37" s="3">
        <f t="shared" si="1"/>
        <v>7.0000000000000007E-2</v>
      </c>
      <c r="M37" s="1">
        <f>Table1[[#This Row],[Democratic]]*Table1[[#This Row],[% From Democrats]]</f>
        <v>62162.67</v>
      </c>
      <c r="N37" s="1">
        <f>Table1[[#This Row],[Republican]]*Table1[[#This Row],[% From Republicans]]</f>
        <v>146034.90000000002</v>
      </c>
      <c r="O37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115451.29058726224</v>
      </c>
      <c r="P37">
        <v>1</v>
      </c>
      <c r="Q37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37" s="4">
        <f>IF(Table1[[#This Row],[Winner2]]="D",Table1[[#This Row],[EV]],0)</f>
        <v>0</v>
      </c>
      <c r="S37" s="4">
        <f>IF(Table1[[#This Row],[Winner2]]="R",Table1[[#This Row],[EV]],"0")</f>
        <v>1</v>
      </c>
      <c r="T37" s="4" t="str">
        <f>IF(Table1[[#This Row],[Winner2]]="T",Table1[[#This Row],[EV]],"0")</f>
        <v>0</v>
      </c>
    </row>
    <row r="38" spans="1:20" x14ac:dyDescent="0.25">
      <c r="A38" t="s">
        <v>38</v>
      </c>
      <c r="B38" s="1">
        <v>176468</v>
      </c>
      <c r="C38" s="1">
        <v>154377</v>
      </c>
      <c r="D38" s="1">
        <v>6909</v>
      </c>
      <c r="F38" s="1">
        <v>1912</v>
      </c>
      <c r="G38" s="1">
        <v>339666</v>
      </c>
      <c r="H38" s="1">
        <f>(Table1[[#This Row],[Total Votes]]*1.492537313)-Table1[[#This Row],[Total Votes]]</f>
        <v>167298.17895745795</v>
      </c>
      <c r="I38" s="1" t="str">
        <f>IF(Table1[[#This Row],[Democratic]]&gt;Table1[[#This Row],[Republican]],"D","R")</f>
        <v>D</v>
      </c>
      <c r="J38" s="3">
        <f t="shared" si="0"/>
        <v>0.47</v>
      </c>
      <c r="K38" s="3">
        <f t="shared" si="0"/>
        <v>0.81</v>
      </c>
      <c r="L38" s="3">
        <f t="shared" si="1"/>
        <v>7.0000000000000007E-2</v>
      </c>
      <c r="M38" s="1">
        <f>Table1[[#This Row],[Democratic]]*Table1[[#This Row],[% From Democrats]]</f>
        <v>82939.959999999992</v>
      </c>
      <c r="N38" s="1">
        <f>Table1[[#This Row],[Republican]]*Table1[[#This Row],[% From Republicans]]</f>
        <v>125045.37000000001</v>
      </c>
      <c r="O38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134570.54252702204</v>
      </c>
      <c r="P38">
        <v>1</v>
      </c>
      <c r="Q38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38" s="4">
        <f>IF(Table1[[#This Row],[Winner2]]="D",Table1[[#This Row],[EV]],0)</f>
        <v>0</v>
      </c>
      <c r="S38" s="4" t="str">
        <f>IF(Table1[[#This Row],[Winner2]]="R",Table1[[#This Row],[EV]],"0")</f>
        <v>0</v>
      </c>
      <c r="T38" s="4">
        <f>IF(Table1[[#This Row],[Winner2]]="T",Table1[[#This Row],[EV]],"0")</f>
        <v>1</v>
      </c>
    </row>
    <row r="39" spans="1:20" x14ac:dyDescent="0.25">
      <c r="A39" t="s">
        <v>39</v>
      </c>
      <c r="B39" s="1">
        <v>65854</v>
      </c>
      <c r="C39" s="1">
        <v>222179</v>
      </c>
      <c r="D39" s="1">
        <v>5879</v>
      </c>
      <c r="F39">
        <v>919</v>
      </c>
      <c r="G39" s="1">
        <v>294831</v>
      </c>
      <c r="H39" s="1">
        <f>(Table1[[#This Row],[Total Votes]]*1.492537313)-Table1[[#This Row],[Total Votes]]</f>
        <v>145215.26852910296</v>
      </c>
      <c r="I39" s="1" t="str">
        <f>IF(Table1[[#This Row],[Democratic]]&gt;Table1[[#This Row],[Republican]],"D","R")</f>
        <v>R</v>
      </c>
      <c r="J39" s="3">
        <f t="shared" si="0"/>
        <v>0.47</v>
      </c>
      <c r="K39" s="3">
        <f t="shared" si="0"/>
        <v>0.81</v>
      </c>
      <c r="L39" s="3">
        <f t="shared" si="1"/>
        <v>7.0000000000000007E-2</v>
      </c>
      <c r="M39" s="1">
        <f>Table1[[#This Row],[Democratic]]*Table1[[#This Row],[% From Democrats]]</f>
        <v>30951.379999999997</v>
      </c>
      <c r="N39" s="1">
        <f>Table1[[#This Row],[Republican]]*Table1[[#This Row],[% From Republicans]]</f>
        <v>179964.99000000002</v>
      </c>
      <c r="O39" s="1">
        <f>(Table1[[#This Row],[Democratic]]-Table1[[#This Row],[New Democrat Vote]])+(Table1[[#This Row],[Republican]]-Table1[[#This Row],[New Republican Vote]])+(Table1[[#This Row],[Non Voters Voting Third Party]]*Table1[[#This Row],[Est. Non Voters]])</f>
        <v>87281.698797037185</v>
      </c>
      <c r="P39">
        <v>1</v>
      </c>
      <c r="Q39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39" s="4">
        <f>IF(Table1[[#This Row],[Winner2]]="D",Table1[[#This Row],[EV]],0)</f>
        <v>0</v>
      </c>
      <c r="S39" s="4">
        <f>IF(Table1[[#This Row],[Winner2]]="R",Table1[[#This Row],[EV]],"0")</f>
        <v>1</v>
      </c>
      <c r="T39" s="4" t="str">
        <f>IF(Table1[[#This Row],[Winner2]]="T",Table1[[#This Row],[EV]],"0")</f>
        <v>0</v>
      </c>
    </row>
    <row r="40" spans="1:20" x14ac:dyDescent="0.25">
      <c r="A40" t="s">
        <v>36</v>
      </c>
      <c r="B40" s="1">
        <v>374583</v>
      </c>
      <c r="C40" s="1">
        <v>556846</v>
      </c>
      <c r="D40" s="1">
        <v>20283</v>
      </c>
      <c r="F40" s="1">
        <v>4671</v>
      </c>
      <c r="G40" s="1">
        <v>956383</v>
      </c>
      <c r="H40" s="1">
        <f>(Table1[[#This Row],[Total Votes]]*1.492537313)-Table1[[#This Row],[Total Votes]]</f>
        <v>471054.31301887892</v>
      </c>
      <c r="I40" s="1" t="str">
        <f>IF(Table1[[#This Row],[Democratic]]&gt;Table1[[#This Row],[Republican]],"D","R")</f>
        <v>R</v>
      </c>
      <c r="J40" s="3">
        <f t="shared" si="0"/>
        <v>0.47</v>
      </c>
      <c r="K40" s="3">
        <f t="shared" si="0"/>
        <v>0.81</v>
      </c>
      <c r="L40" s="3">
        <f t="shared" si="1"/>
        <v>7.0000000000000007E-2</v>
      </c>
      <c r="M40" s="1">
        <f>Table1[[#This Row],[Democratic]]*Table1[[#This Row],[% From Democrats]]</f>
        <v>176054.00999999998</v>
      </c>
      <c r="N40" s="1">
        <f>Table1[[#This Row],[Republican]]*Table1[[#This Row],[% From Republicans]]</f>
        <v>451045.26</v>
      </c>
      <c r="O40" s="1">
        <f>(Table1[[#This Row],[Democratic]]-Table1[[#This Row],[New Democrat Vote]])+(Table1[[#This Row],[Republican]]-Table1[[#This Row],[New Republican Vote]])+(Table1[[#This Row],[Non Voters Voting Third Party]]*Table1[[#This Row],[Est. Non Voters]])</f>
        <v>337303.53191132151</v>
      </c>
      <c r="P40">
        <v>2</v>
      </c>
      <c r="Q40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40" s="4">
        <f>IF(Table1[[#This Row],[Winner2]]="D",Table1[[#This Row],[EV]],0)</f>
        <v>0</v>
      </c>
      <c r="S40" s="4">
        <f>IF(Table1[[#This Row],[Winner2]]="R",Table1[[#This Row],[EV]],"0")</f>
        <v>2</v>
      </c>
      <c r="T40" s="4" t="str">
        <f>IF(Table1[[#This Row],[Winner2]]="T",Table1[[#This Row],[EV]],"0")</f>
        <v>0</v>
      </c>
    </row>
    <row r="41" spans="1:20" x14ac:dyDescent="0.25">
      <c r="A41" t="s">
        <v>40</v>
      </c>
      <c r="B41" s="1">
        <v>703486</v>
      </c>
      <c r="C41" s="1">
        <v>669890</v>
      </c>
      <c r="D41" s="1">
        <v>14783</v>
      </c>
      <c r="F41" s="1">
        <v>17217</v>
      </c>
      <c r="G41" s="1">
        <v>1405376</v>
      </c>
      <c r="H41" s="1">
        <f>(Table1[[#This Row],[Total Votes]]*1.492537313)-Table1[[#This Row],[Total Votes]]</f>
        <v>692200.11879468802</v>
      </c>
      <c r="I41" s="1" t="str">
        <f>IF(Table1[[#This Row],[Democratic]]&gt;Table1[[#This Row],[Republican]],"D","R")</f>
        <v>D</v>
      </c>
      <c r="J41" s="3">
        <f t="shared" si="0"/>
        <v>0.47</v>
      </c>
      <c r="K41" s="3">
        <f t="shared" si="0"/>
        <v>0.81</v>
      </c>
      <c r="L41" s="3">
        <f t="shared" si="1"/>
        <v>7.0000000000000007E-2</v>
      </c>
      <c r="M41" s="1">
        <f>Table1[[#This Row],[Democratic]]*Table1[[#This Row],[% From Democrats]]</f>
        <v>330638.42</v>
      </c>
      <c r="N41" s="1">
        <f>Table1[[#This Row],[Republican]]*Table1[[#This Row],[% From Republicans]]</f>
        <v>542610.9</v>
      </c>
      <c r="O41" s="1">
        <f>(Table1[[#This Row],[Democratic]]-Table1[[#This Row],[New Democrat Vote]])+(Table1[[#This Row],[Republican]]-Table1[[#This Row],[New Republican Vote]])+(Table1[[#This Row],[Non Voters Voting Third Party]]*Table1[[#This Row],[Est. Non Voters]])</f>
        <v>548580.68831562821</v>
      </c>
      <c r="P41">
        <v>6</v>
      </c>
      <c r="Q41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41" s="4">
        <f>IF(Table1[[#This Row],[Winner2]]="D",Table1[[#This Row],[EV]],0)</f>
        <v>0</v>
      </c>
      <c r="S41" s="4" t="str">
        <f>IF(Table1[[#This Row],[Winner2]]="R",Table1[[#This Row],[EV]],"0")</f>
        <v>0</v>
      </c>
      <c r="T41" s="4">
        <f>IF(Table1[[#This Row],[Winner2]]="T",Table1[[#This Row],[EV]],"0")</f>
        <v>6</v>
      </c>
    </row>
    <row r="42" spans="1:20" x14ac:dyDescent="0.25">
      <c r="A42" t="s">
        <v>47</v>
      </c>
      <c r="B42" s="1">
        <v>2679165</v>
      </c>
      <c r="C42" s="1">
        <v>3154834</v>
      </c>
      <c r="D42" s="1">
        <v>67569</v>
      </c>
      <c r="E42" s="1">
        <v>18812</v>
      </c>
      <c r="F42" s="1">
        <v>1822</v>
      </c>
      <c r="G42" s="1">
        <v>5922202</v>
      </c>
      <c r="H42" s="1">
        <f>(Table1[[#This Row],[Total Votes]]*1.492537313)-Table1[[#This Row],[Total Votes]]</f>
        <v>2916905.460123226</v>
      </c>
      <c r="I42" s="1" t="str">
        <f>IF(Table1[[#This Row],[Democratic]]&gt;Table1[[#This Row],[Republican]],"D","R")</f>
        <v>R</v>
      </c>
      <c r="J42" s="3">
        <f t="shared" si="0"/>
        <v>0.47</v>
      </c>
      <c r="K42" s="3">
        <f t="shared" si="0"/>
        <v>0.81</v>
      </c>
      <c r="L42" s="3">
        <f t="shared" si="1"/>
        <v>7.0000000000000007E-2</v>
      </c>
      <c r="M42" s="1">
        <f>Table1[[#This Row],[Democratic]]*Table1[[#This Row],[% From Democrats]]</f>
        <v>1259207.5499999998</v>
      </c>
      <c r="N42" s="1">
        <f>Table1[[#This Row],[Republican]]*Table1[[#This Row],[% From Republicans]]</f>
        <v>2555415.54</v>
      </c>
      <c r="O42" s="1">
        <f>(Table1[[#This Row],[Democratic]]-Table1[[#This Row],[New Democrat Vote]])+(Table1[[#This Row],[Republican]]-Table1[[#This Row],[New Republican Vote]])+(Table1[[#This Row],[Non Voters Voting Third Party]]*Table1[[#This Row],[Est. Non Voters]])</f>
        <v>2223559.2922086259</v>
      </c>
      <c r="P42">
        <v>18</v>
      </c>
      <c r="Q42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42" s="4">
        <f>IF(Table1[[#This Row],[Winner2]]="D",Table1[[#This Row],[EV]],0)</f>
        <v>0</v>
      </c>
      <c r="S42" s="4">
        <f>IF(Table1[[#This Row],[Winner2]]="R",Table1[[#This Row],[EV]],"0")</f>
        <v>18</v>
      </c>
      <c r="T42" s="4" t="str">
        <f>IF(Table1[[#This Row],[Winner2]]="T",Table1[[#This Row],[EV]],"0")</f>
        <v>0</v>
      </c>
    </row>
    <row r="43" spans="1:20" x14ac:dyDescent="0.25">
      <c r="A43" t="s">
        <v>48</v>
      </c>
      <c r="B43" s="1">
        <v>503890</v>
      </c>
      <c r="C43" s="1">
        <v>1020280</v>
      </c>
      <c r="D43" s="1">
        <v>24731</v>
      </c>
      <c r="F43" s="1">
        <v>11798</v>
      </c>
      <c r="G43" s="1">
        <v>1560699</v>
      </c>
      <c r="H43" s="1">
        <f>(Table1[[#This Row],[Total Votes]]*1.492537313)-Table1[[#This Row],[Total Votes]]</f>
        <v>768702.49186178669</v>
      </c>
      <c r="I43" s="1" t="str">
        <f>IF(Table1[[#This Row],[Democratic]]&gt;Table1[[#This Row],[Republican]],"D","R")</f>
        <v>R</v>
      </c>
      <c r="J43" s="3">
        <f t="shared" si="0"/>
        <v>0.47</v>
      </c>
      <c r="K43" s="3">
        <f t="shared" si="0"/>
        <v>0.81</v>
      </c>
      <c r="L43" s="3">
        <f t="shared" si="1"/>
        <v>7.0000000000000007E-2</v>
      </c>
      <c r="M43" s="1">
        <f>Table1[[#This Row],[Democratic]]*Table1[[#This Row],[% From Democrats]]</f>
        <v>236828.3</v>
      </c>
      <c r="N43" s="1">
        <f>Table1[[#This Row],[Republican]]*Table1[[#This Row],[% From Republicans]]</f>
        <v>826426.8</v>
      </c>
      <c r="O43" s="1">
        <f>(Table1[[#This Row],[Democratic]]-Table1[[#This Row],[New Democrat Vote]])+(Table1[[#This Row],[Republican]]-Table1[[#This Row],[New Republican Vote]])+(Table1[[#This Row],[Non Voters Voting Third Party]]*Table1[[#This Row],[Est. Non Voters]])</f>
        <v>514724.07443032507</v>
      </c>
      <c r="P43">
        <v>7</v>
      </c>
      <c r="Q43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43" s="4">
        <f>IF(Table1[[#This Row],[Winner2]]="D",Table1[[#This Row],[EV]],0)</f>
        <v>0</v>
      </c>
      <c r="S43" s="4">
        <f>IF(Table1[[#This Row],[Winner2]]="R",Table1[[#This Row],[EV]],"0")</f>
        <v>7</v>
      </c>
      <c r="T43" s="4" t="str">
        <f>IF(Table1[[#This Row],[Winner2]]="T",Table1[[#This Row],[EV]],"0")</f>
        <v>0</v>
      </c>
    </row>
    <row r="44" spans="1:20" x14ac:dyDescent="0.25">
      <c r="A44" t="s">
        <v>49</v>
      </c>
      <c r="B44" s="1">
        <v>1340383</v>
      </c>
      <c r="C44" s="1">
        <v>958448</v>
      </c>
      <c r="D44" s="1">
        <v>41582</v>
      </c>
      <c r="E44" s="1">
        <v>11831</v>
      </c>
      <c r="F44" s="1">
        <v>22077</v>
      </c>
      <c r="G44" s="1">
        <v>2374321</v>
      </c>
      <c r="H44" s="1">
        <f>(Table1[[#This Row],[Total Votes]]*1.492537313)-Table1[[#This Row],[Total Votes]]</f>
        <v>1169441.6855394728</v>
      </c>
      <c r="I44" s="1" t="str">
        <f>IF(Table1[[#This Row],[Democratic]]&gt;Table1[[#This Row],[Republican]],"D","R")</f>
        <v>D</v>
      </c>
      <c r="J44" s="3">
        <f t="shared" si="0"/>
        <v>0.47</v>
      </c>
      <c r="K44" s="3">
        <f t="shared" si="0"/>
        <v>0.81</v>
      </c>
      <c r="L44" s="3">
        <f t="shared" si="1"/>
        <v>7.0000000000000007E-2</v>
      </c>
      <c r="M44" s="1">
        <f>Table1[[#This Row],[Democratic]]*Table1[[#This Row],[% From Democrats]]</f>
        <v>629980.01</v>
      </c>
      <c r="N44" s="1">
        <f>Table1[[#This Row],[Republican]]*Table1[[#This Row],[% From Republicans]]</f>
        <v>776342.88</v>
      </c>
      <c r="O44" s="1">
        <f>(Table1[[#This Row],[Democratic]]-Table1[[#This Row],[New Democrat Vote]])+(Table1[[#This Row],[Republican]]-Table1[[#This Row],[New Republican Vote]])+(Table1[[#This Row],[Non Voters Voting Third Party]]*Table1[[#This Row],[Est. Non Voters]])</f>
        <v>974369.02798776305</v>
      </c>
      <c r="P44">
        <v>7</v>
      </c>
      <c r="Q44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44" s="4">
        <f>IF(Table1[[#This Row],[Winner2]]="D",Table1[[#This Row],[EV]],0)</f>
        <v>0</v>
      </c>
      <c r="S44" s="4" t="str">
        <f>IF(Table1[[#This Row],[Winner2]]="R",Table1[[#This Row],[EV]],"0")</f>
        <v>0</v>
      </c>
      <c r="T44" s="4">
        <f>IF(Table1[[#This Row],[Winner2]]="T",Table1[[#This Row],[EV]],"0")</f>
        <v>7</v>
      </c>
    </row>
    <row r="45" spans="1:20" x14ac:dyDescent="0.25">
      <c r="A45" t="s">
        <v>50</v>
      </c>
      <c r="B45" s="1">
        <v>3458229</v>
      </c>
      <c r="C45" s="1">
        <v>3377674</v>
      </c>
      <c r="D45" s="1">
        <v>79380</v>
      </c>
      <c r="E45" s="1">
        <v>1282</v>
      </c>
      <c r="F45" s="1">
        <v>20411</v>
      </c>
      <c r="G45" s="1">
        <v>6936976</v>
      </c>
      <c r="H45" s="1">
        <f>(Table1[[#This Row],[Total Votes]]*1.492537313)-Table1[[#This Row],[Total Votes]]</f>
        <v>3416719.5193854868</v>
      </c>
      <c r="I45" s="1" t="str">
        <f>IF(Table1[[#This Row],[Democratic]]&gt;Table1[[#This Row],[Republican]],"D","R")</f>
        <v>D</v>
      </c>
      <c r="J45" s="3">
        <f t="shared" si="0"/>
        <v>0.47</v>
      </c>
      <c r="K45" s="3">
        <f t="shared" si="0"/>
        <v>0.81</v>
      </c>
      <c r="L45" s="3">
        <f t="shared" si="1"/>
        <v>7.0000000000000007E-2</v>
      </c>
      <c r="M45" s="1">
        <f>Table1[[#This Row],[Democratic]]*Table1[[#This Row],[% From Democrats]]</f>
        <v>1625367.63</v>
      </c>
      <c r="N45" s="1">
        <f>Table1[[#This Row],[Republican]]*Table1[[#This Row],[% From Republicans]]</f>
        <v>2735915.9400000004</v>
      </c>
      <c r="O45" s="1">
        <f>(Table1[[#This Row],[Democratic]]-Table1[[#This Row],[New Democrat Vote]])+(Table1[[#This Row],[Republican]]-Table1[[#This Row],[New Republican Vote]])+(Table1[[#This Row],[Non Voters Voting Third Party]]*Table1[[#This Row],[Est. Non Voters]])</f>
        <v>2713789.7963569839</v>
      </c>
      <c r="P45">
        <v>20</v>
      </c>
      <c r="Q45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45" s="4">
        <f>IF(Table1[[#This Row],[Winner2]]="D",Table1[[#This Row],[EV]],0)</f>
        <v>0</v>
      </c>
      <c r="S45" s="4">
        <f>IF(Table1[[#This Row],[Winner2]]="R",Table1[[#This Row],[EV]],"0")</f>
        <v>20</v>
      </c>
      <c r="T45" s="4" t="str">
        <f>IF(Table1[[#This Row],[Winner2]]="T",Table1[[#This Row],[EV]],"0")</f>
        <v>0</v>
      </c>
    </row>
    <row r="46" spans="1:20" x14ac:dyDescent="0.25">
      <c r="A46" t="s">
        <v>51</v>
      </c>
      <c r="B46" s="1">
        <v>307486</v>
      </c>
      <c r="C46" s="1">
        <v>199922</v>
      </c>
      <c r="D46" s="1">
        <v>5053</v>
      </c>
      <c r="F46" s="1">
        <v>5296</v>
      </c>
      <c r="G46" s="1">
        <v>517757</v>
      </c>
      <c r="H46" s="1">
        <f>(Table1[[#This Row],[Total Votes]]*1.492537313)-Table1[[#This Row],[Total Votes]]</f>
        <v>255014.64156694093</v>
      </c>
      <c r="I46" s="1" t="str">
        <f>IF(Table1[[#This Row],[Democratic]]&gt;Table1[[#This Row],[Republican]],"D","R")</f>
        <v>D</v>
      </c>
      <c r="J46" s="3">
        <f t="shared" si="0"/>
        <v>0.47</v>
      </c>
      <c r="K46" s="3">
        <f t="shared" si="0"/>
        <v>0.81</v>
      </c>
      <c r="L46" s="3">
        <f t="shared" si="1"/>
        <v>7.0000000000000007E-2</v>
      </c>
      <c r="M46" s="1">
        <f>Table1[[#This Row],[Democratic]]*Table1[[#This Row],[% From Democrats]]</f>
        <v>144518.41999999998</v>
      </c>
      <c r="N46" s="1">
        <f>Table1[[#This Row],[Republican]]*Table1[[#This Row],[% From Republicans]]</f>
        <v>161936.82</v>
      </c>
      <c r="O46" s="1">
        <f>(Table1[[#This Row],[Democratic]]-Table1[[#This Row],[New Democrat Vote]])+(Table1[[#This Row],[Republican]]-Table1[[#This Row],[New Republican Vote]])+(Table1[[#This Row],[Non Voters Voting Third Party]]*Table1[[#This Row],[Est. Non Voters]])</f>
        <v>218803.78490968587</v>
      </c>
      <c r="P46">
        <v>4</v>
      </c>
      <c r="Q46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46" s="4">
        <f>IF(Table1[[#This Row],[Winner2]]="D",Table1[[#This Row],[EV]],0)</f>
        <v>0</v>
      </c>
      <c r="S46" s="4" t="str">
        <f>IF(Table1[[#This Row],[Winner2]]="R",Table1[[#This Row],[EV]],"0")</f>
        <v>0</v>
      </c>
      <c r="T46" s="4">
        <f>IF(Table1[[#This Row],[Winner2]]="T",Table1[[#This Row],[EV]],"0")</f>
        <v>4</v>
      </c>
    </row>
    <row r="47" spans="1:20" x14ac:dyDescent="0.25">
      <c r="A47" t="s">
        <v>52</v>
      </c>
      <c r="B47" s="1">
        <v>1091541</v>
      </c>
      <c r="C47" s="1">
        <v>1385103</v>
      </c>
      <c r="D47" s="1">
        <v>27916</v>
      </c>
      <c r="E47" s="1">
        <v>6907</v>
      </c>
      <c r="F47" s="1">
        <v>1862</v>
      </c>
      <c r="G47" s="1">
        <v>2513329</v>
      </c>
      <c r="H47" s="1">
        <f>(Table1[[#This Row],[Total Votes]]*1.492537313)-Table1[[#This Row],[Total Votes]]</f>
        <v>1237908.3123449767</v>
      </c>
      <c r="I47" s="1" t="str">
        <f>IF(Table1[[#This Row],[Democratic]]&gt;Table1[[#This Row],[Republican]],"D","R")</f>
        <v>R</v>
      </c>
      <c r="J47" s="3">
        <f t="shared" si="0"/>
        <v>0.47</v>
      </c>
      <c r="K47" s="3">
        <f t="shared" si="0"/>
        <v>0.81</v>
      </c>
      <c r="L47" s="3">
        <f t="shared" si="1"/>
        <v>7.0000000000000007E-2</v>
      </c>
      <c r="M47" s="1">
        <f>Table1[[#This Row],[Democratic]]*Table1[[#This Row],[% From Democrats]]</f>
        <v>513024.26999999996</v>
      </c>
      <c r="N47" s="1">
        <f>Table1[[#This Row],[Republican]]*Table1[[#This Row],[% From Republicans]]</f>
        <v>1121933.4300000002</v>
      </c>
      <c r="O47" s="1">
        <f>(Table1[[#This Row],[Democratic]]-Table1[[#This Row],[New Democrat Vote]])+(Table1[[#This Row],[Republican]]-Table1[[#This Row],[New Republican Vote]])+(Table1[[#This Row],[Non Voters Voting Third Party]]*Table1[[#This Row],[Est. Non Voters]])</f>
        <v>928339.88186414819</v>
      </c>
      <c r="P47">
        <v>9</v>
      </c>
      <c r="Q47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47" s="4">
        <f>IF(Table1[[#This Row],[Winner2]]="D",Table1[[#This Row],[EV]],0)</f>
        <v>0</v>
      </c>
      <c r="S47" s="4">
        <f>IF(Table1[[#This Row],[Winner2]]="R",Table1[[#This Row],[EV]],"0")</f>
        <v>9</v>
      </c>
      <c r="T47" s="4" t="str">
        <f>IF(Table1[[#This Row],[Winner2]]="T",Table1[[#This Row],[EV]],"0")</f>
        <v>0</v>
      </c>
    </row>
    <row r="48" spans="1:20" x14ac:dyDescent="0.25">
      <c r="A48" t="s">
        <v>53</v>
      </c>
      <c r="B48" s="1">
        <v>150471</v>
      </c>
      <c r="C48" s="1">
        <v>261043</v>
      </c>
      <c r="D48" s="1">
        <v>11095</v>
      </c>
      <c r="G48" s="1">
        <v>422609</v>
      </c>
      <c r="H48" s="1">
        <f>(Table1[[#This Row],[Total Votes]]*1.492537313)-Table1[[#This Row],[Total Votes]]</f>
        <v>208150.70130961691</v>
      </c>
      <c r="I48" s="1" t="str">
        <f>IF(Table1[[#This Row],[Democratic]]&gt;Table1[[#This Row],[Republican]],"D","R")</f>
        <v>R</v>
      </c>
      <c r="J48" s="3">
        <f t="shared" si="0"/>
        <v>0.47</v>
      </c>
      <c r="K48" s="3">
        <f t="shared" si="0"/>
        <v>0.81</v>
      </c>
      <c r="L48" s="3">
        <f t="shared" si="1"/>
        <v>7.0000000000000007E-2</v>
      </c>
      <c r="M48" s="1">
        <f>Table1[[#This Row],[Democratic]]*Table1[[#This Row],[% From Democrats]]</f>
        <v>70721.37</v>
      </c>
      <c r="N48" s="1">
        <f>Table1[[#This Row],[Republican]]*Table1[[#This Row],[% From Republicans]]</f>
        <v>211444.83000000002</v>
      </c>
      <c r="O48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143918.34909167318</v>
      </c>
      <c r="P48">
        <v>3</v>
      </c>
      <c r="Q48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48" s="4">
        <f>IF(Table1[[#This Row],[Winner2]]="D",Table1[[#This Row],[EV]],0)</f>
        <v>0</v>
      </c>
      <c r="S48" s="4">
        <f>IF(Table1[[#This Row],[Winner2]]="R",Table1[[#This Row],[EV]],"0")</f>
        <v>3</v>
      </c>
      <c r="T48" s="4" t="str">
        <f>IF(Table1[[#This Row],[Winner2]]="T",Table1[[#This Row],[EV]],"0")</f>
        <v>0</v>
      </c>
    </row>
    <row r="49" spans="1:20" x14ac:dyDescent="0.25">
      <c r="A49" t="s">
        <v>54</v>
      </c>
      <c r="B49" s="1">
        <v>1143711</v>
      </c>
      <c r="C49" s="1">
        <v>1852475</v>
      </c>
      <c r="D49" s="1">
        <v>29877</v>
      </c>
      <c r="E49" s="1">
        <v>4545</v>
      </c>
      <c r="F49" s="1">
        <v>23243</v>
      </c>
      <c r="G49" s="1">
        <v>3053851</v>
      </c>
      <c r="H49" s="1">
        <f>(Table1[[#This Row],[Total Votes]]*1.492537313)-Table1[[#This Row],[Total Votes]]</f>
        <v>1504135.5658423631</v>
      </c>
      <c r="I49" s="1" t="str">
        <f>IF(Table1[[#This Row],[Democratic]]&gt;Table1[[#This Row],[Republican]],"D","R")</f>
        <v>R</v>
      </c>
      <c r="J49" s="3">
        <f t="shared" si="0"/>
        <v>0.47</v>
      </c>
      <c r="K49" s="3">
        <f t="shared" si="0"/>
        <v>0.81</v>
      </c>
      <c r="L49" s="3">
        <f t="shared" si="1"/>
        <v>7.0000000000000007E-2</v>
      </c>
      <c r="M49" s="1">
        <f>Table1[[#This Row],[Democratic]]*Table1[[#This Row],[% From Democrats]]</f>
        <v>537544.16999999993</v>
      </c>
      <c r="N49" s="1">
        <f>Table1[[#This Row],[Republican]]*Table1[[#This Row],[% From Republicans]]</f>
        <v>1500504.75</v>
      </c>
      <c r="O49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1063426.5696089654</v>
      </c>
      <c r="P49">
        <v>11</v>
      </c>
      <c r="Q49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49" s="4">
        <f>IF(Table1[[#This Row],[Winner2]]="D",Table1[[#This Row],[EV]],0)</f>
        <v>0</v>
      </c>
      <c r="S49" s="4">
        <f>IF(Table1[[#This Row],[Winner2]]="R",Table1[[#This Row],[EV]],"0")</f>
        <v>11</v>
      </c>
      <c r="T49" s="4" t="str">
        <f>IF(Table1[[#This Row],[Winner2]]="T",Table1[[#This Row],[EV]],"0")</f>
        <v>0</v>
      </c>
    </row>
    <row r="50" spans="1:20" x14ac:dyDescent="0.25">
      <c r="A50" t="s">
        <v>55</v>
      </c>
      <c r="B50" s="1">
        <v>5259126</v>
      </c>
      <c r="C50" s="1">
        <v>5890347</v>
      </c>
      <c r="D50" s="1">
        <v>126243</v>
      </c>
      <c r="E50" s="1">
        <v>33396</v>
      </c>
      <c r="F50" s="1">
        <v>5944</v>
      </c>
      <c r="G50" s="1">
        <v>11315056</v>
      </c>
      <c r="H50" s="1">
        <f>(Table1[[#This Row],[Total Votes]]*1.492537313)-Table1[[#This Row],[Total Votes]]</f>
        <v>5573087.2786845267</v>
      </c>
      <c r="I50" s="1" t="str">
        <f>IF(Table1[[#This Row],[Democratic]]&gt;Table1[[#This Row],[Republican]],"D","R")</f>
        <v>R</v>
      </c>
      <c r="J50" s="3">
        <f t="shared" si="0"/>
        <v>0.47</v>
      </c>
      <c r="K50" s="3">
        <f t="shared" si="0"/>
        <v>0.81</v>
      </c>
      <c r="L50" s="3">
        <f t="shared" si="1"/>
        <v>7.0000000000000007E-2</v>
      </c>
      <c r="M50" s="1">
        <f>Table1[[#This Row],[Democratic]]*Table1[[#This Row],[% From Democrats]]</f>
        <v>2471789.2199999997</v>
      </c>
      <c r="N50" s="1">
        <f>Table1[[#This Row],[Republican]]*Table1[[#This Row],[% From Republicans]]</f>
        <v>4771181.07</v>
      </c>
      <c r="O50" s="1">
        <f>(Table1[[#This Row],[Democratic]]-Table1[[#This Row],[New Democrat Vote]])+(Table1[[#This Row],[Republican]]-Table1[[#This Row],[New Republican Vote]])+(Table1[[#This Row],[Non Voters Voting Third Party]]*Table1[[#This Row],[Est. Non Voters]])</f>
        <v>4296618.8195079165</v>
      </c>
      <c r="P50">
        <v>38</v>
      </c>
      <c r="Q50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50" s="4">
        <f>IF(Table1[[#This Row],[Winner2]]="D",Table1[[#This Row],[EV]],0)</f>
        <v>0</v>
      </c>
      <c r="S50" s="4">
        <f>IF(Table1[[#This Row],[Winner2]]="R",Table1[[#This Row],[EV]],"0")</f>
        <v>38</v>
      </c>
      <c r="T50" s="4" t="str">
        <f>IF(Table1[[#This Row],[Winner2]]="T",Table1[[#This Row],[EV]],"0")</f>
        <v>0</v>
      </c>
    </row>
    <row r="51" spans="1:20" x14ac:dyDescent="0.25">
      <c r="A51" t="s">
        <v>56</v>
      </c>
      <c r="B51" s="1">
        <v>560282</v>
      </c>
      <c r="C51" s="1">
        <v>865140</v>
      </c>
      <c r="D51" s="1">
        <v>38447</v>
      </c>
      <c r="E51" s="1">
        <v>5053</v>
      </c>
      <c r="F51" s="1">
        <v>19367</v>
      </c>
      <c r="G51" s="1">
        <v>1488289</v>
      </c>
      <c r="H51" s="1">
        <f>(Table1[[#This Row],[Total Votes]]*1.492537313)-Table1[[#This Row],[Total Votes]]</f>
        <v>733037.86502745701</v>
      </c>
      <c r="I51" s="1" t="str">
        <f>IF(Table1[[#This Row],[Democratic]]&gt;Table1[[#This Row],[Republican]],"D","R")</f>
        <v>R</v>
      </c>
      <c r="J51" s="3">
        <f t="shared" si="0"/>
        <v>0.47</v>
      </c>
      <c r="K51" s="3">
        <f t="shared" si="0"/>
        <v>0.81</v>
      </c>
      <c r="L51" s="3">
        <f t="shared" si="1"/>
        <v>7.0000000000000007E-2</v>
      </c>
      <c r="M51" s="1">
        <f>Table1[[#This Row],[Democratic]]*Table1[[#This Row],[% From Democrats]]</f>
        <v>263332.53999999998</v>
      </c>
      <c r="N51" s="1">
        <f>Table1[[#This Row],[Republican]]*Table1[[#This Row],[% From Republicans]]</f>
        <v>700763.4</v>
      </c>
      <c r="O51" s="1">
        <f>(Table1[[#This Row],[Democratic]]-Table1[[#This Row],[New Democrat Vote]])+(Table1[[#This Row],[Republican]]-Table1[[#This Row],[New Republican Vote]])+(Table1[[#This Row],[Non Voters Voting Third Party]]*Table1[[#This Row],[Est. Non Voters]])</f>
        <v>512638.71055192198</v>
      </c>
      <c r="P51">
        <v>6</v>
      </c>
      <c r="Q51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51" s="4">
        <f>IF(Table1[[#This Row],[Winner2]]="D",Table1[[#This Row],[EV]],0)</f>
        <v>0</v>
      </c>
      <c r="S51" s="4">
        <f>IF(Table1[[#This Row],[Winner2]]="R",Table1[[#This Row],[EV]],"0")</f>
        <v>6</v>
      </c>
      <c r="T51" s="4" t="str">
        <f>IF(Table1[[#This Row],[Winner2]]="T",Table1[[#This Row],[EV]],"0")</f>
        <v>0</v>
      </c>
    </row>
    <row r="52" spans="1:20" x14ac:dyDescent="0.25">
      <c r="A52" t="s">
        <v>58</v>
      </c>
      <c r="B52" s="1">
        <v>2413568</v>
      </c>
      <c r="C52" s="1">
        <v>1962430</v>
      </c>
      <c r="D52" s="1">
        <v>64761</v>
      </c>
      <c r="F52" s="1">
        <v>19765</v>
      </c>
      <c r="G52" s="1">
        <v>4460524</v>
      </c>
      <c r="H52" s="1">
        <f>(Table1[[#This Row],[Total Votes]]*1.492537313)-Table1[[#This Row],[Total Votes]]</f>
        <v>2196974.5055320114</v>
      </c>
      <c r="I52" s="1" t="str">
        <f>IF(Table1[[#This Row],[Democratic]]&gt;Table1[[#This Row],[Republican]],"D","R")</f>
        <v>D</v>
      </c>
      <c r="J52" s="3">
        <f t="shared" si="0"/>
        <v>0.47</v>
      </c>
      <c r="K52" s="3">
        <f t="shared" si="0"/>
        <v>0.81</v>
      </c>
      <c r="L52" s="3">
        <f t="shared" si="1"/>
        <v>7.0000000000000007E-2</v>
      </c>
      <c r="M52" s="1">
        <f>Table1[[#This Row],[Democratic]]*Table1[[#This Row],[% From Democrats]]</f>
        <v>1134376.96</v>
      </c>
      <c r="N52" s="1">
        <f>Table1[[#This Row],[Republican]]*Table1[[#This Row],[% From Republicans]]</f>
        <v>1589568.3</v>
      </c>
      <c r="O52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1805840.9553872407</v>
      </c>
      <c r="P52">
        <v>13</v>
      </c>
      <c r="Q52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52" s="4">
        <f>IF(Table1[[#This Row],[Winner2]]="D",Table1[[#This Row],[EV]],0)</f>
        <v>0</v>
      </c>
      <c r="S52" s="4" t="str">
        <f>IF(Table1[[#This Row],[Winner2]]="R",Table1[[#This Row],[EV]],"0")</f>
        <v>0</v>
      </c>
      <c r="T52" s="4">
        <f>IF(Table1[[#This Row],[Winner2]]="T",Table1[[#This Row],[EV]],"0")</f>
        <v>13</v>
      </c>
    </row>
    <row r="53" spans="1:20" x14ac:dyDescent="0.25">
      <c r="A53" t="s">
        <v>57</v>
      </c>
      <c r="B53" s="1">
        <v>242820</v>
      </c>
      <c r="C53" s="1">
        <v>112704</v>
      </c>
      <c r="D53" s="1">
        <v>3608</v>
      </c>
      <c r="E53" s="1">
        <v>1310</v>
      </c>
      <c r="F53" s="1">
        <v>6986</v>
      </c>
      <c r="G53" s="1">
        <v>367428</v>
      </c>
      <c r="H53" s="1">
        <f>(Table1[[#This Row],[Total Votes]]*1.492537313)-Table1[[#This Row],[Total Votes]]</f>
        <v>180971.99984096398</v>
      </c>
      <c r="I53" s="1" t="str">
        <f>IF(Table1[[#This Row],[Democratic]]&gt;Table1[[#This Row],[Republican]],"D","R")</f>
        <v>D</v>
      </c>
      <c r="J53" s="3">
        <f t="shared" si="0"/>
        <v>0.47</v>
      </c>
      <c r="K53" s="3">
        <f t="shared" si="0"/>
        <v>0.81</v>
      </c>
      <c r="L53" s="3">
        <f t="shared" si="1"/>
        <v>7.0000000000000007E-2</v>
      </c>
      <c r="M53" s="1">
        <f>Table1[[#This Row],[Democratic]]*Table1[[#This Row],[% From Democrats]]</f>
        <v>114125.4</v>
      </c>
      <c r="N53" s="1">
        <f>Table1[[#This Row],[Republican]]*Table1[[#This Row],[% From Republicans]]</f>
        <v>91290.240000000005</v>
      </c>
      <c r="O53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162776.39998886746</v>
      </c>
      <c r="P53">
        <v>3</v>
      </c>
      <c r="Q53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53" s="4">
        <f>IF(Table1[[#This Row],[Winner2]]="D",Table1[[#This Row],[EV]],0)</f>
        <v>0</v>
      </c>
      <c r="S53" s="4" t="str">
        <f>IF(Table1[[#This Row],[Winner2]]="R",Table1[[#This Row],[EV]],"0")</f>
        <v>0</v>
      </c>
      <c r="T53" s="4">
        <f>IF(Table1[[#This Row],[Winner2]]="T",Table1[[#This Row],[EV]],"0")</f>
        <v>3</v>
      </c>
    </row>
    <row r="54" spans="1:20" x14ac:dyDescent="0.25">
      <c r="A54" t="s">
        <v>60</v>
      </c>
      <c r="B54" s="1">
        <v>235984</v>
      </c>
      <c r="C54" s="1">
        <v>545382</v>
      </c>
      <c r="D54" s="1">
        <v>10687</v>
      </c>
      <c r="E54" s="1">
        <v>2599</v>
      </c>
      <c r="F54">
        <v>79</v>
      </c>
      <c r="G54" s="1">
        <v>794731</v>
      </c>
      <c r="H54" s="1">
        <f>(Table1[[#This Row],[Total Votes]]*1.492537313)-Table1[[#This Row],[Total Votes]]</f>
        <v>391434.67129780282</v>
      </c>
      <c r="I54" s="1" t="str">
        <f>IF(Table1[[#This Row],[Democratic]]&gt;Table1[[#This Row],[Republican]],"D","R")</f>
        <v>R</v>
      </c>
      <c r="J54" s="3">
        <f t="shared" si="0"/>
        <v>0.47</v>
      </c>
      <c r="K54" s="3">
        <f t="shared" si="0"/>
        <v>0.81</v>
      </c>
      <c r="L54" s="3">
        <f t="shared" si="1"/>
        <v>7.0000000000000007E-2</v>
      </c>
      <c r="M54" s="1">
        <f>Table1[[#This Row],[Democratic]]*Table1[[#This Row],[% From Democrats]]</f>
        <v>110912.48</v>
      </c>
      <c r="N54" s="1">
        <f>Table1[[#This Row],[Republican]]*Table1[[#This Row],[% From Republicans]]</f>
        <v>441759.42000000004</v>
      </c>
      <c r="O54" s="1">
        <f>(Table1[[#This Row],[Democratic]]-Table1[[#This Row],[New Democrat Vote]])+(Table1[[#This Row],[Republican]]-Table1[[#This Row],[New Republican Vote]])+(Table1[[#This Row],[Non Voters Voting Third Party]]*Table1[[#This Row],[Est. Non Voters]])</f>
        <v>256094.52699084618</v>
      </c>
      <c r="P54">
        <v>5</v>
      </c>
      <c r="Q54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54" s="4">
        <f>IF(Table1[[#This Row],[Winner2]]="D",Table1[[#This Row],[EV]],0)</f>
        <v>0</v>
      </c>
      <c r="S54" s="4">
        <f>IF(Table1[[#This Row],[Winner2]]="R",Table1[[#This Row],[EV]],"0")</f>
        <v>5</v>
      </c>
      <c r="T54" s="4" t="str">
        <f>IF(Table1[[#This Row],[Winner2]]="T",Table1[[#This Row],[EV]],"0")</f>
        <v>0</v>
      </c>
    </row>
    <row r="55" spans="1:20" x14ac:dyDescent="0.25">
      <c r="A55" t="s">
        <v>59</v>
      </c>
      <c r="B55" s="1">
        <v>2369612</v>
      </c>
      <c r="C55" s="1">
        <v>1584651</v>
      </c>
      <c r="D55" s="1">
        <v>80500</v>
      </c>
      <c r="E55" s="1">
        <v>18289</v>
      </c>
      <c r="F55" s="1">
        <v>34579</v>
      </c>
      <c r="G55" s="1">
        <v>4087631</v>
      </c>
      <c r="H55" s="1">
        <f>(Table1[[#This Row],[Total Votes]]*1.492537313)-Table1[[#This Row],[Total Votes]]</f>
        <v>2013310.7892755028</v>
      </c>
      <c r="I55" s="1" t="str">
        <f>IF(Table1[[#This Row],[Democratic]]&gt;Table1[[#This Row],[Republican]],"D","R")</f>
        <v>D</v>
      </c>
      <c r="J55" s="3">
        <f t="shared" si="0"/>
        <v>0.47</v>
      </c>
      <c r="K55" s="3">
        <f t="shared" si="0"/>
        <v>0.81</v>
      </c>
      <c r="L55" s="3">
        <f t="shared" si="1"/>
        <v>7.0000000000000007E-2</v>
      </c>
      <c r="M55" s="1">
        <f>Table1[[#This Row],[Democratic]]*Table1[[#This Row],[% From Democrats]]</f>
        <v>1113717.6399999999</v>
      </c>
      <c r="N55" s="1">
        <f>Table1[[#This Row],[Republican]]*Table1[[#This Row],[% From Republicans]]</f>
        <v>1283567.31</v>
      </c>
      <c r="O55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1697909.8052492852</v>
      </c>
      <c r="P55">
        <v>12</v>
      </c>
      <c r="Q55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T</v>
      </c>
      <c r="R55" s="4">
        <f>IF(Table1[[#This Row],[Winner2]]="D",Table1[[#This Row],[EV]],0)</f>
        <v>0</v>
      </c>
      <c r="S55" s="4" t="str">
        <f>IF(Table1[[#This Row],[Winner2]]="R",Table1[[#This Row],[EV]],"0")</f>
        <v>0</v>
      </c>
      <c r="T55" s="4">
        <f>IF(Table1[[#This Row],[Winner2]]="T",Table1[[#This Row],[EV]],"0")</f>
        <v>12</v>
      </c>
    </row>
    <row r="56" spans="1:20" x14ac:dyDescent="0.25">
      <c r="A56" t="s">
        <v>61</v>
      </c>
      <c r="B56" s="1">
        <v>1630866</v>
      </c>
      <c r="C56" s="1">
        <v>1610184</v>
      </c>
      <c r="D56" s="1">
        <v>38491</v>
      </c>
      <c r="E56" s="1">
        <v>1089</v>
      </c>
      <c r="F56" s="1">
        <v>17411</v>
      </c>
      <c r="G56" s="1">
        <v>3298041</v>
      </c>
      <c r="H56" s="1">
        <f>(Table1[[#This Row],[Total Votes]]*1.492537313)-Table1[[#This Row],[Total Votes]]</f>
        <v>1624408.2523038331</v>
      </c>
      <c r="I56" s="1" t="str">
        <f>IF(Table1[[#This Row],[Democratic]]&gt;Table1[[#This Row],[Republican]],"D","R")</f>
        <v>D</v>
      </c>
      <c r="J56" s="3">
        <f t="shared" si="0"/>
        <v>0.47</v>
      </c>
      <c r="K56" s="3">
        <f t="shared" si="0"/>
        <v>0.81</v>
      </c>
      <c r="L56" s="3">
        <f t="shared" si="1"/>
        <v>7.0000000000000007E-2</v>
      </c>
      <c r="M56" s="1">
        <f>Table1[[#This Row],[Democratic]]*Table1[[#This Row],[% From Democrats]]</f>
        <v>766507.0199999999</v>
      </c>
      <c r="N56" s="1">
        <f>Table1[[#This Row],[Republican]]*Table1[[#This Row],[% From Republicans]]</f>
        <v>1304249.04</v>
      </c>
      <c r="O56" s="1">
        <f>(Table1[[#This Row],[Democratic]]-Table1[[#This Row],[New Democrat Vote]])+(Table1[[#This Row],[Republican]]-Table1[[#This Row],[New Republican Vote]])+(Table1[[#This Row],[Non Voters Voting Third Party]]*Table1[[#This Row],[Est. Non Voters]])</f>
        <v>1284002.5176612684</v>
      </c>
      <c r="P56">
        <v>10</v>
      </c>
      <c r="Q56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56" s="4">
        <f>IF(Table1[[#This Row],[Winner2]]="D",Table1[[#This Row],[EV]],0)</f>
        <v>0</v>
      </c>
      <c r="S56" s="4">
        <f>IF(Table1[[#This Row],[Winner2]]="R",Table1[[#This Row],[EV]],"0")</f>
        <v>10</v>
      </c>
      <c r="T56" s="4" t="str">
        <f>IF(Table1[[#This Row],[Winner2]]="T",Table1[[#This Row],[EV]],"0")</f>
        <v>0</v>
      </c>
    </row>
    <row r="57" spans="1:20" x14ac:dyDescent="0.25">
      <c r="A57" t="s">
        <v>62</v>
      </c>
      <c r="B57" s="1">
        <v>73491</v>
      </c>
      <c r="C57" s="1">
        <v>193559</v>
      </c>
      <c r="D57" s="1">
        <v>5768</v>
      </c>
      <c r="F57" s="1">
        <v>3947</v>
      </c>
      <c r="G57" s="1">
        <v>276765</v>
      </c>
      <c r="H57" s="1">
        <f>(Table1[[#This Row],[Total Votes]]*1.492537313)-Table1[[#This Row],[Total Votes]]</f>
        <v>136317.08943244501</v>
      </c>
      <c r="I57" s="1" t="str">
        <f>IF(Table1[[#This Row],[Democratic]]&gt;Table1[[#This Row],[Republican]],"D","R")</f>
        <v>R</v>
      </c>
      <c r="J57" s="3">
        <f t="shared" si="0"/>
        <v>0.47</v>
      </c>
      <c r="K57" s="3">
        <f t="shared" si="0"/>
        <v>0.81</v>
      </c>
      <c r="L57" s="3">
        <f t="shared" si="1"/>
        <v>7.0000000000000007E-2</v>
      </c>
      <c r="M57" s="1">
        <f>Table1[[#This Row],[Democratic]]*Table1[[#This Row],[% From Democrats]]</f>
        <v>34540.769999999997</v>
      </c>
      <c r="N57" s="1">
        <f>Table1[[#This Row],[Republican]]*Table1[[#This Row],[% From Republicans]]</f>
        <v>156782.79</v>
      </c>
      <c r="O57" s="1">
        <f>(Table1[[#This Row],[Democratic]]-Table1[[#This Row],[New Democrat Vote]])+(Table1[[#This Row],[Republican]]-Table1[[#This Row],[New Republican Vote]])+(Table1[[#This Row],[Non Voters Voting Third Party]]*Table1[[#This Row],[Est. Non Voters]])</f>
        <v>85268.63626027116</v>
      </c>
      <c r="P57">
        <v>3</v>
      </c>
      <c r="Q57" t="str">
        <f>IF(Table1[[#This Row],[New Democrat Vote]]&gt;Table1[[#This Row],[New Republican Vote]],IF(Table1[[#This Row],[New Democrat Vote]]&gt;Table1[[#This Row],[New Third Party Vote]],"D","T"),IF(Table1[[#This Row],[New Republican Vote]]&gt;Table1[[#This Row],[New Third Party Vote]],"R","T"))</f>
        <v>R</v>
      </c>
      <c r="R57" s="4">
        <f>IF(Table1[[#This Row],[Winner2]]="D",Table1[[#This Row],[EV]],0)</f>
        <v>0</v>
      </c>
      <c r="S57" s="4">
        <f>IF(Table1[[#This Row],[Winner2]]="R",Table1[[#This Row],[EV]],"0")</f>
        <v>3</v>
      </c>
      <c r="T57" s="4" t="str">
        <f>IF(Table1[[#This Row],[Winner2]]="T",Table1[[#This Row],[EV]],"0")</f>
        <v>0</v>
      </c>
    </row>
    <row r="58" spans="1:20" x14ac:dyDescent="0.25">
      <c r="A58" t="s">
        <v>5</v>
      </c>
      <c r="B58" s="1">
        <v>81283501</v>
      </c>
      <c r="C58" s="1">
        <v>74223975</v>
      </c>
      <c r="D58" s="1">
        <v>1865535</v>
      </c>
      <c r="E58" s="1">
        <v>407068</v>
      </c>
      <c r="F58" s="1">
        <v>649552</v>
      </c>
      <c r="G58" s="1">
        <v>158429631</v>
      </c>
      <c r="H58" s="1"/>
      <c r="I58" s="1"/>
      <c r="J58" s="1"/>
      <c r="K58" s="1"/>
      <c r="L58" s="1"/>
      <c r="M58" s="1"/>
      <c r="N58" s="1"/>
      <c r="O58" s="1"/>
      <c r="P58">
        <v>306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D3BE-E705-449C-9310-0B0AEC9DB2A8}">
  <dimension ref="A1"/>
  <sheetViews>
    <sheetView workbookViewId="0">
      <selection activeCell="AA26" sqref="Z26:AA27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2023-10-25T19:47:55Z</dcterms:created>
  <dcterms:modified xsi:type="dcterms:W3CDTF">2023-10-25T20:27:27Z</dcterms:modified>
</cp:coreProperties>
</file>